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195" windowHeight="7425"/>
  </bookViews>
  <sheets>
    <sheet name="FY2012" sheetId="1" r:id="rId1"/>
    <sheet name="FY2011" sheetId="4" r:id="rId2"/>
    <sheet name="Sheet2" sheetId="2" r:id="rId3"/>
    <sheet name="Sheet3" sheetId="3" r:id="rId4"/>
  </sheets>
  <externalReferences>
    <externalReference r:id="rId5"/>
    <externalReference r:id="rId6"/>
  </externalReferences>
  <calcPr calcId="125725"/>
</workbook>
</file>

<file path=xl/calcChain.xml><?xml version="1.0" encoding="utf-8"?>
<calcChain xmlns="http://schemas.openxmlformats.org/spreadsheetml/2006/main">
  <c r="L30" i="1"/>
  <c r="K30"/>
  <c r="J30"/>
  <c r="I30"/>
  <c r="H30"/>
  <c r="F30"/>
  <c r="E30"/>
  <c r="D30"/>
  <c r="C30"/>
  <c r="L28"/>
  <c r="K28"/>
  <c r="J28"/>
  <c r="I28"/>
  <c r="H28"/>
  <c r="F28"/>
  <c r="E28"/>
  <c r="D28"/>
  <c r="C28"/>
  <c r="L28" i="4"/>
  <c r="K28"/>
  <c r="J28"/>
  <c r="I28"/>
  <c r="H28"/>
  <c r="F28"/>
  <c r="E28"/>
  <c r="D28"/>
  <c r="C28"/>
  <c r="K26"/>
  <c r="I26"/>
  <c r="H26"/>
  <c r="F26"/>
  <c r="E26"/>
  <c r="D26"/>
  <c r="C26"/>
  <c r="H21"/>
  <c r="I21"/>
  <c r="J21"/>
  <c r="K21"/>
  <c r="F21"/>
  <c r="E21"/>
  <c r="D21"/>
  <c r="C21"/>
  <c r="K20"/>
  <c r="J20"/>
  <c r="I20"/>
  <c r="H20"/>
  <c r="F20"/>
  <c r="E20"/>
  <c r="D20"/>
  <c r="C20"/>
  <c r="E18"/>
  <c r="E17"/>
  <c r="D18"/>
  <c r="D17"/>
  <c r="C18"/>
  <c r="C17"/>
  <c r="E15"/>
  <c r="D15"/>
  <c r="C15"/>
  <c r="K15"/>
  <c r="H11"/>
  <c r="F11"/>
  <c r="E11"/>
  <c r="D11"/>
  <c r="C11"/>
  <c r="K8"/>
  <c r="K9"/>
  <c r="K10"/>
  <c r="K11"/>
  <c r="K12"/>
  <c r="K13"/>
  <c r="J13"/>
  <c r="I13"/>
  <c r="H13"/>
  <c r="H22"/>
  <c r="F13"/>
  <c r="E13"/>
  <c r="D13"/>
  <c r="C13"/>
  <c r="J12"/>
  <c r="I12"/>
  <c r="H12"/>
  <c r="F12"/>
  <c r="E12"/>
  <c r="D12"/>
  <c r="C12"/>
  <c r="J11"/>
  <c r="I11"/>
  <c r="J10"/>
  <c r="I10"/>
  <c r="H10"/>
  <c r="F10"/>
  <c r="E10"/>
  <c r="D10"/>
  <c r="C10"/>
  <c r="J9"/>
  <c r="I9"/>
  <c r="H9"/>
  <c r="F9"/>
  <c r="E9"/>
  <c r="D9"/>
  <c r="C9"/>
  <c r="J8"/>
  <c r="I8"/>
  <c r="H8"/>
  <c r="F8"/>
  <c r="E8"/>
  <c r="D8"/>
  <c r="C8"/>
  <c r="L26"/>
  <c r="L21"/>
  <c r="E24"/>
  <c r="I23"/>
  <c r="I25" s="1"/>
  <c r="L20"/>
  <c r="K18"/>
  <c r="I18"/>
  <c r="H18"/>
  <c r="F18"/>
  <c r="L18"/>
  <c r="K17"/>
  <c r="F17"/>
  <c r="L17"/>
  <c r="I15"/>
  <c r="H15"/>
  <c r="F15"/>
  <c r="L15"/>
  <c r="K22"/>
  <c r="J22"/>
  <c r="I22"/>
  <c r="F22"/>
  <c r="E22"/>
  <c r="D22"/>
  <c r="C22"/>
  <c r="L12"/>
  <c r="L11"/>
  <c r="L10"/>
  <c r="L9"/>
  <c r="K14"/>
  <c r="J14"/>
  <c r="I14"/>
  <c r="H14"/>
  <c r="F14"/>
  <c r="E14"/>
  <c r="D14"/>
  <c r="C14"/>
  <c r="I20" i="1"/>
  <c r="H20"/>
  <c r="F20"/>
  <c r="E20"/>
  <c r="D20"/>
  <c r="C20"/>
  <c r="K26"/>
  <c r="I26"/>
  <c r="H26"/>
  <c r="F26"/>
  <c r="E26"/>
  <c r="D26"/>
  <c r="C26"/>
  <c r="L26"/>
  <c r="K17"/>
  <c r="K18"/>
  <c r="I18"/>
  <c r="H18"/>
  <c r="F18"/>
  <c r="E18"/>
  <c r="D18"/>
  <c r="C18"/>
  <c r="L18" s="1"/>
  <c r="K15"/>
  <c r="I15"/>
  <c r="H15"/>
  <c r="F15"/>
  <c r="E15"/>
  <c r="D15"/>
  <c r="C15"/>
  <c r="K8"/>
  <c r="K9"/>
  <c r="K10"/>
  <c r="K11"/>
  <c r="K12"/>
  <c r="K13"/>
  <c r="J21"/>
  <c r="I21"/>
  <c r="H21"/>
  <c r="K21"/>
  <c r="K20"/>
  <c r="K23" s="1"/>
  <c r="K25" s="1"/>
  <c r="K22"/>
  <c r="J20"/>
  <c r="J23" s="1"/>
  <c r="J13"/>
  <c r="J22" s="1"/>
  <c r="J12"/>
  <c r="J11"/>
  <c r="J10"/>
  <c r="J9"/>
  <c r="J8"/>
  <c r="I13"/>
  <c r="I22" s="1"/>
  <c r="I23" s="1"/>
  <c r="I25" s="1"/>
  <c r="I12"/>
  <c r="I11"/>
  <c r="I10"/>
  <c r="I9"/>
  <c r="I8"/>
  <c r="F17"/>
  <c r="H11"/>
  <c r="F11"/>
  <c r="F13"/>
  <c r="F22" s="1"/>
  <c r="F12"/>
  <c r="H13"/>
  <c r="H22" s="1"/>
  <c r="H23" s="1"/>
  <c r="H25" s="1"/>
  <c r="H12"/>
  <c r="E13"/>
  <c r="E22" s="1"/>
  <c r="D13"/>
  <c r="D22" s="1"/>
  <c r="C13"/>
  <c r="C22" s="1"/>
  <c r="L22" s="1"/>
  <c r="F10"/>
  <c r="H10"/>
  <c r="H9"/>
  <c r="H8"/>
  <c r="E9"/>
  <c r="F21"/>
  <c r="F23" s="1"/>
  <c r="F25" s="1"/>
  <c r="E21"/>
  <c r="D21"/>
  <c r="D23" s="1"/>
  <c r="C21"/>
  <c r="E17"/>
  <c r="D17"/>
  <c r="C17"/>
  <c r="L17" s="1"/>
  <c r="E12"/>
  <c r="D12"/>
  <c r="C12"/>
  <c r="C10"/>
  <c r="D10"/>
  <c r="E10"/>
  <c r="C9"/>
  <c r="D9"/>
  <c r="F9"/>
  <c r="F8"/>
  <c r="E8"/>
  <c r="D8"/>
  <c r="C8"/>
  <c r="E11"/>
  <c r="D11"/>
  <c r="C11"/>
  <c r="L11" s="1"/>
  <c r="K23" i="4" l="1"/>
  <c r="K25" s="1"/>
  <c r="F23"/>
  <c r="F25" s="1"/>
  <c r="L22"/>
  <c r="D23"/>
  <c r="L23"/>
  <c r="E23"/>
  <c r="E25" s="1"/>
  <c r="H23"/>
  <c r="H25" s="1"/>
  <c r="L8"/>
  <c r="C23"/>
  <c r="J23"/>
  <c r="D24"/>
  <c r="L13"/>
  <c r="C24"/>
  <c r="L21" i="1"/>
  <c r="E23"/>
  <c r="L15"/>
  <c r="D24"/>
  <c r="D25" s="1"/>
  <c r="E24"/>
  <c r="K14"/>
  <c r="C24"/>
  <c r="L10"/>
  <c r="L8"/>
  <c r="L9"/>
  <c r="L12"/>
  <c r="C23"/>
  <c r="I14"/>
  <c r="F14"/>
  <c r="H14"/>
  <c r="J14"/>
  <c r="L20"/>
  <c r="L23" s="1"/>
  <c r="L13"/>
  <c r="E14"/>
  <c r="D14"/>
  <c r="C14"/>
  <c r="D25" i="4" l="1"/>
  <c r="J24"/>
  <c r="L24" s="1"/>
  <c r="L25" s="1"/>
  <c r="C25"/>
  <c r="J25"/>
  <c r="L14"/>
  <c r="C25" i="1"/>
  <c r="J24"/>
  <c r="J25" s="1"/>
  <c r="E25"/>
  <c r="L14"/>
  <c r="L24" l="1"/>
  <c r="L25" s="1"/>
</calcChain>
</file>

<file path=xl/sharedStrings.xml><?xml version="1.0" encoding="utf-8"?>
<sst xmlns="http://schemas.openxmlformats.org/spreadsheetml/2006/main" count="71" uniqueCount="35">
  <si>
    <t>Estimated Fiscal Year-End Fund Balances</t>
  </si>
  <si>
    <t>Type of Fund</t>
  </si>
  <si>
    <t>Gas</t>
  </si>
  <si>
    <t>Water</t>
  </si>
  <si>
    <t>Wastewater</t>
  </si>
  <si>
    <t>Stormwater</t>
  </si>
  <si>
    <t>Restricted Cash</t>
  </si>
  <si>
    <t>Acct</t>
  </si>
  <si>
    <t>Current</t>
  </si>
  <si>
    <t>Customer Deposits</t>
  </si>
  <si>
    <t>2350/</t>
  </si>
  <si>
    <t>Non-Restricted Cash</t>
  </si>
  <si>
    <t>1100-1177</t>
  </si>
  <si>
    <t>Inter-Fund</t>
  </si>
  <si>
    <t>Electric</t>
  </si>
  <si>
    <t>Less: Customer Deposits</t>
  </si>
  <si>
    <t>Stores</t>
  </si>
  <si>
    <t>Unallocated</t>
  </si>
  <si>
    <t>SUN-DPU PRIN</t>
  </si>
  <si>
    <t>USB-DPU REBA</t>
  </si>
  <si>
    <t>SUN-DPU INT.</t>
  </si>
  <si>
    <t>SNAP DPU PRI</t>
  </si>
  <si>
    <t>SNAP DPU INT</t>
  </si>
  <si>
    <t>CAFR</t>
  </si>
  <si>
    <t>Allocation of Unallocated</t>
  </si>
  <si>
    <t>Adjusted Balance</t>
  </si>
  <si>
    <t>Escrow cash balance for debt</t>
  </si>
  <si>
    <t>Total from</t>
  </si>
  <si>
    <t>Financials</t>
  </si>
  <si>
    <t>Check - Total</t>
  </si>
  <si>
    <t>Columns C - J</t>
  </si>
  <si>
    <t>FY2012</t>
  </si>
  <si>
    <t>FY2011</t>
  </si>
  <si>
    <t>Total Cash</t>
  </si>
  <si>
    <t>Change from FY2011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</si>
</sst>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_);[Red]\(0\)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43" fontId="0" fillId="0" borderId="0" xfId="0" applyNumberFormat="1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43" fontId="0" fillId="0" borderId="1" xfId="0" applyNumberFormat="1" applyBorder="1"/>
    <xf numFmtId="38" fontId="0" fillId="0" borderId="0" xfId="0" applyNumberFormat="1"/>
    <xf numFmtId="164" fontId="0" fillId="0" borderId="0" xfId="0" applyNumberFormat="1" applyAlignment="1">
      <alignment horizontal="center"/>
    </xf>
    <xf numFmtId="40" fontId="0" fillId="0" borderId="1" xfId="0" applyNumberFormat="1" applyBorder="1"/>
    <xf numFmtId="164" fontId="0" fillId="0" borderId="0" xfId="0" applyNumberFormat="1" applyAlignment="1">
      <alignment horizontal="right"/>
    </xf>
    <xf numFmtId="0" fontId="4" fillId="0" borderId="0" xfId="0" applyFont="1"/>
    <xf numFmtId="164" fontId="0" fillId="0" borderId="0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ergman\Financials\Monthly%20Financials%20Worksheet%2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ergman\Financials\Monthly%20Financials%20Worksheet%201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FR P&amp;L"/>
      <sheetName val="CAFR BS"/>
      <sheetName val="Cash Balances"/>
      <sheetName val="Debt Balances"/>
      <sheetName val="final june '11"/>
      <sheetName val="June"/>
      <sheetName val="CF wsheet"/>
      <sheetName val="CAFR CF"/>
      <sheetName val="CAFR P&amp;L data"/>
      <sheetName val="3191 64"/>
      <sheetName val="CAFR BS data"/>
      <sheetName val="Rate of Return"/>
      <sheetName val="Income Variance Analysis"/>
      <sheetName val="BS Variance Analysis"/>
      <sheetName val="Income Tax True Up"/>
      <sheetName val="Income Statement by Fund"/>
      <sheetName val="Income Statement by Utility"/>
      <sheetName val="BS By Utility"/>
      <sheetName val="BS By Fund"/>
    </sheetNames>
    <sheetDataSet>
      <sheetData sheetId="0" refreshError="1"/>
      <sheetData sheetId="1">
        <row r="14">
          <cell r="D14">
            <v>14215591</v>
          </cell>
          <cell r="E14">
            <v>43960422</v>
          </cell>
          <cell r="F14">
            <v>65654418</v>
          </cell>
          <cell r="G14">
            <v>5160991</v>
          </cell>
          <cell r="J14">
            <v>1574925</v>
          </cell>
          <cell r="K14">
            <v>32948919</v>
          </cell>
          <cell r="M14">
            <v>163515266</v>
          </cell>
        </row>
        <row r="25">
          <cell r="D25">
            <v>18266504</v>
          </cell>
          <cell r="E25">
            <v>12497739</v>
          </cell>
          <cell r="F25">
            <v>11868120</v>
          </cell>
          <cell r="G25">
            <v>0</v>
          </cell>
          <cell r="J25">
            <v>0</v>
          </cell>
          <cell r="K25">
            <v>0</v>
          </cell>
          <cell r="M25">
            <v>42632363</v>
          </cell>
        </row>
        <row r="26">
          <cell r="D26">
            <v>3637390</v>
          </cell>
          <cell r="E26">
            <v>3108749</v>
          </cell>
          <cell r="F26">
            <v>2813361</v>
          </cell>
          <cell r="G26">
            <v>0</v>
          </cell>
          <cell r="J26">
            <v>0</v>
          </cell>
          <cell r="K26">
            <v>0</v>
          </cell>
          <cell r="M26">
            <v>9559500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">
          <cell r="E2">
            <v>-2719470.6499999962</v>
          </cell>
          <cell r="F2">
            <v>-3553518.8500000006</v>
          </cell>
          <cell r="G2">
            <v>5927528.3100000005</v>
          </cell>
          <cell r="H2">
            <v>-314461.14000000013</v>
          </cell>
          <cell r="I2">
            <v>0</v>
          </cell>
          <cell r="J2">
            <v>0</v>
          </cell>
          <cell r="K2">
            <v>-988519.2099999995</v>
          </cell>
          <cell r="L2">
            <v>-29325051.289999921</v>
          </cell>
          <cell r="M2">
            <v>-35908659.780000001</v>
          </cell>
          <cell r="N2">
            <v>-32034199.259999994</v>
          </cell>
          <cell r="O2">
            <v>-2007625.5599999987</v>
          </cell>
          <cell r="P2">
            <v>6303699.7399999956</v>
          </cell>
          <cell r="Q2">
            <v>-6242807.6699999962</v>
          </cell>
        </row>
        <row r="3">
          <cell r="L3">
            <v>-9.0949470177292824E-13</v>
          </cell>
          <cell r="Q3">
            <v>0</v>
          </cell>
        </row>
        <row r="4">
          <cell r="L4">
            <v>0</v>
          </cell>
          <cell r="M4">
            <v>0</v>
          </cell>
          <cell r="N4">
            <v>0</v>
          </cell>
        </row>
        <row r="5">
          <cell r="E5">
            <v>-20927734.170000017</v>
          </cell>
          <cell r="F5">
            <v>-15232177.820000013</v>
          </cell>
          <cell r="G5">
            <v>-39911419.32</v>
          </cell>
          <cell r="H5">
            <v>-625761.34000000008</v>
          </cell>
          <cell r="I5">
            <v>-41253.279999999999</v>
          </cell>
          <cell r="J5">
            <v>-2894838.17</v>
          </cell>
          <cell r="K5">
            <v>-1079001.8600000001</v>
          </cell>
          <cell r="L5">
            <v>-87422557.950000271</v>
          </cell>
          <cell r="M5">
            <v>-20088332.070000052</v>
          </cell>
          <cell r="N5">
            <v>-18467342.270000089</v>
          </cell>
          <cell r="O5">
            <v>-782601.19</v>
          </cell>
          <cell r="P5">
            <v>-8537611.9899999984</v>
          </cell>
          <cell r="Q5">
            <v>20442886.970000006</v>
          </cell>
        </row>
        <row r="6">
          <cell r="L6">
            <v>0</v>
          </cell>
          <cell r="M6">
            <v>0</v>
          </cell>
          <cell r="N6">
            <v>0</v>
          </cell>
          <cell r="Q6">
            <v>0</v>
          </cell>
        </row>
        <row r="7">
          <cell r="N7">
            <v>0</v>
          </cell>
        </row>
        <row r="8">
          <cell r="L8">
            <v>0</v>
          </cell>
          <cell r="M8">
            <v>0</v>
          </cell>
          <cell r="N8">
            <v>0</v>
          </cell>
          <cell r="Q8">
            <v>0</v>
          </cell>
        </row>
        <row r="9">
          <cell r="L9">
            <v>3.4106051316484809E-13</v>
          </cell>
          <cell r="M9">
            <v>0</v>
          </cell>
          <cell r="N9">
            <v>0</v>
          </cell>
          <cell r="Q9">
            <v>0</v>
          </cell>
        </row>
        <row r="10">
          <cell r="L10">
            <v>0</v>
          </cell>
          <cell r="M10">
            <v>0</v>
          </cell>
          <cell r="N10">
            <v>0</v>
          </cell>
          <cell r="Q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  <cell r="H11">
            <v>0</v>
          </cell>
          <cell r="L11">
            <v>-1.8189894035458565E-12</v>
          </cell>
          <cell r="M11">
            <v>0</v>
          </cell>
          <cell r="N11">
            <v>0</v>
          </cell>
          <cell r="O11">
            <v>0</v>
          </cell>
          <cell r="Q11">
            <v>38129.360000003129</v>
          </cell>
        </row>
        <row r="12">
          <cell r="L12">
            <v>-7.1054273576010019E-15</v>
          </cell>
          <cell r="M12">
            <v>0</v>
          </cell>
          <cell r="N12">
            <v>0</v>
          </cell>
          <cell r="Q12">
            <v>0</v>
          </cell>
        </row>
        <row r="13">
          <cell r="E13">
            <v>20721080.169999987</v>
          </cell>
          <cell r="F13">
            <v>-51817848.879999995</v>
          </cell>
          <cell r="G13">
            <v>-42465466.459999979</v>
          </cell>
          <cell r="H13">
            <v>-18868754.720000003</v>
          </cell>
          <cell r="I13">
            <v>-10520694.099999998</v>
          </cell>
          <cell r="J13">
            <v>-2338007.42</v>
          </cell>
          <cell r="K13">
            <v>13908881.220000001</v>
          </cell>
          <cell r="L13">
            <v>145452414.69999963</v>
          </cell>
          <cell r="M13">
            <v>177222680.89000002</v>
          </cell>
          <cell r="N13">
            <v>197919915.87999979</v>
          </cell>
          <cell r="O13">
            <v>41456758.019999996</v>
          </cell>
          <cell r="P13">
            <v>45915627.730000004</v>
          </cell>
          <cell r="Q13">
            <v>-40445547.909999847</v>
          </cell>
        </row>
        <row r="14">
          <cell r="L14">
            <v>0</v>
          </cell>
          <cell r="N14">
            <v>-935.44</v>
          </cell>
          <cell r="Q14">
            <v>0</v>
          </cell>
        </row>
        <row r="15">
          <cell r="L15">
            <v>0</v>
          </cell>
          <cell r="N15">
            <v>0</v>
          </cell>
          <cell r="O15">
            <v>0</v>
          </cell>
        </row>
        <row r="16">
          <cell r="H16">
            <v>0</v>
          </cell>
          <cell r="L16">
            <v>382285.97</v>
          </cell>
          <cell r="M16">
            <v>-106.44000000055894</v>
          </cell>
          <cell r="N16">
            <v>-179.52000000000044</v>
          </cell>
          <cell r="O16">
            <v>-16221753.170000002</v>
          </cell>
          <cell r="Q16">
            <v>20811580.039999962</v>
          </cell>
        </row>
        <row r="17">
          <cell r="M17">
            <v>0</v>
          </cell>
        </row>
        <row r="18">
          <cell r="Q18">
            <v>0</v>
          </cell>
        </row>
        <row r="19">
          <cell r="K19">
            <v>-1447524.06</v>
          </cell>
          <cell r="L19">
            <v>-7473790.5700000012</v>
          </cell>
          <cell r="M19">
            <v>-5757698.7100000018</v>
          </cell>
          <cell r="N19">
            <v>-6085700.3100000098</v>
          </cell>
          <cell r="O19">
            <v>-1060876.2899999993</v>
          </cell>
          <cell r="P19">
            <v>-170848.95000000024</v>
          </cell>
          <cell r="Q19">
            <v>8305138.8600000013</v>
          </cell>
        </row>
        <row r="20">
          <cell r="F20">
            <v>0</v>
          </cell>
        </row>
        <row r="21">
          <cell r="G21">
            <v>0</v>
          </cell>
        </row>
        <row r="22">
          <cell r="L22">
            <v>0</v>
          </cell>
          <cell r="Q22">
            <v>0</v>
          </cell>
        </row>
        <row r="23">
          <cell r="Q23">
            <v>0</v>
          </cell>
        </row>
        <row r="24">
          <cell r="L24">
            <v>0</v>
          </cell>
        </row>
        <row r="25">
          <cell r="G25">
            <v>0</v>
          </cell>
        </row>
        <row r="26">
          <cell r="M26">
            <v>0</v>
          </cell>
        </row>
        <row r="27">
          <cell r="L27">
            <v>0</v>
          </cell>
          <cell r="M27">
            <v>0</v>
          </cell>
          <cell r="N27">
            <v>0</v>
          </cell>
        </row>
        <row r="28">
          <cell r="F28">
            <v>0</v>
          </cell>
          <cell r="Q28">
            <v>0</v>
          </cell>
        </row>
        <row r="29">
          <cell r="E29">
            <v>0</v>
          </cell>
          <cell r="F29">
            <v>0</v>
          </cell>
          <cell r="G29">
            <v>44871.400000000023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N30">
            <v>0</v>
          </cell>
        </row>
        <row r="31">
          <cell r="E31">
            <v>4512996.8300000057</v>
          </cell>
          <cell r="F31">
            <v>-2178877.0200000005</v>
          </cell>
          <cell r="G31">
            <v>-1264080.9900000021</v>
          </cell>
          <cell r="H31">
            <v>38489.69000000041</v>
          </cell>
          <cell r="I31">
            <v>0</v>
          </cell>
          <cell r="J31">
            <v>-121227.99000000002</v>
          </cell>
          <cell r="K31">
            <v>121227.99</v>
          </cell>
          <cell r="L31">
            <v>-4512996.8299999982</v>
          </cell>
          <cell r="M31">
            <v>1996452.3599999994</v>
          </cell>
          <cell r="N31">
            <v>1264080.9900000021</v>
          </cell>
          <cell r="O31">
            <v>-38489.689999999478</v>
          </cell>
          <cell r="P31">
            <v>0</v>
          </cell>
        </row>
        <row r="60">
          <cell r="L60">
            <v>1686366.33</v>
          </cell>
          <cell r="M60">
            <v>1682927.93</v>
          </cell>
          <cell r="N60">
            <v>3046868.99</v>
          </cell>
        </row>
        <row r="61">
          <cell r="G61">
            <v>9.9600000000000009</v>
          </cell>
          <cell r="L61">
            <v>185884.84000000003</v>
          </cell>
          <cell r="M61">
            <v>155482.82</v>
          </cell>
          <cell r="N61">
            <v>240831.39</v>
          </cell>
        </row>
        <row r="62">
          <cell r="L62">
            <v>4300391.62</v>
          </cell>
          <cell r="M62">
            <v>3939271.96</v>
          </cell>
          <cell r="N62">
            <v>3810053.62</v>
          </cell>
          <cell r="O62">
            <v>0</v>
          </cell>
        </row>
        <row r="63">
          <cell r="E63">
            <v>5898908.0300000003</v>
          </cell>
          <cell r="F63">
            <v>5041589.7300000004</v>
          </cell>
          <cell r="G63">
            <v>4562545.6900000004</v>
          </cell>
          <cell r="L63">
            <v>0</v>
          </cell>
        </row>
        <row r="64">
          <cell r="L64">
            <v>268677.85000000003</v>
          </cell>
          <cell r="M64">
            <v>229629.53</v>
          </cell>
          <cell r="N64">
            <v>207810.51</v>
          </cell>
        </row>
        <row r="65">
          <cell r="L65">
            <v>3637389.75</v>
          </cell>
          <cell r="M65">
            <v>3108749.4000000004</v>
          </cell>
          <cell r="N65">
            <v>2813360.85</v>
          </cell>
        </row>
        <row r="302">
          <cell r="L302">
            <v>-5926274.9800000004</v>
          </cell>
          <cell r="M302">
            <v>-1448836.91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FR P&amp;L"/>
      <sheetName val="CAFR BS"/>
      <sheetName val="Cash Balances"/>
      <sheetName val="Debt Balances"/>
      <sheetName val="final june '10"/>
      <sheetName val="June"/>
      <sheetName val="CF wsheet"/>
      <sheetName val="CAFR CF"/>
      <sheetName val="CAFR P&amp;L data"/>
      <sheetName val="3191 64"/>
      <sheetName val="CAFR BS data"/>
      <sheetName val="Rate of Return"/>
      <sheetName val="Income Variance Analysis"/>
      <sheetName val="BS Variance Analysis"/>
      <sheetName val="Income Tax True Up"/>
      <sheetName val="BS By Utility"/>
      <sheetName val="BS By Fund"/>
      <sheetName val="Income Statement by Fund"/>
      <sheetName val="Income Statement by Utility"/>
    </sheetNames>
    <sheetDataSet>
      <sheetData sheetId="0" refreshError="1"/>
      <sheetData sheetId="1">
        <row r="14">
          <cell r="D14">
            <v>13215049</v>
          </cell>
          <cell r="E14">
            <v>37135887</v>
          </cell>
          <cell r="F14">
            <v>53850246</v>
          </cell>
          <cell r="G14">
            <v>4386183</v>
          </cell>
          <cell r="J14">
            <v>109028</v>
          </cell>
          <cell r="K14">
            <v>35353497</v>
          </cell>
          <cell r="M14">
            <v>144049890</v>
          </cell>
        </row>
        <row r="25">
          <cell r="D25">
            <v>27013193</v>
          </cell>
          <cell r="E25">
            <v>31095447</v>
          </cell>
          <cell r="F25">
            <v>28770405</v>
          </cell>
          <cell r="M25">
            <v>86879045</v>
          </cell>
        </row>
        <row r="26">
          <cell r="D26">
            <v>3637390</v>
          </cell>
          <cell r="E26">
            <v>3108749</v>
          </cell>
          <cell r="F26">
            <v>2813361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E2">
            <v>0</v>
          </cell>
          <cell r="F2">
            <v>-9.3132257461547852E-10</v>
          </cell>
          <cell r="G2">
            <v>5.2159521146677434E-10</v>
          </cell>
          <cell r="H2">
            <v>0</v>
          </cell>
          <cell r="I2">
            <v>0</v>
          </cell>
          <cell r="J2">
            <v>-1.1641532182693481E-10</v>
          </cell>
          <cell r="K2">
            <v>-9.3132257461547852E-10</v>
          </cell>
          <cell r="L2">
            <v>192904.66999998808</v>
          </cell>
          <cell r="M2">
            <v>-151045.34999998688</v>
          </cell>
          <cell r="N2">
            <v>-42065.970000013709</v>
          </cell>
          <cell r="O2">
            <v>206.64999999850988</v>
          </cell>
          <cell r="P2">
            <v>1.5320438251364976E-9</v>
          </cell>
          <cell r="Q2">
            <v>1.1175870895385742E-8</v>
          </cell>
        </row>
        <row r="3">
          <cell r="L3">
            <v>-9.0949470177292824E-13</v>
          </cell>
          <cell r="Q3">
            <v>0</v>
          </cell>
        </row>
        <row r="4">
          <cell r="L4">
            <v>0</v>
          </cell>
          <cell r="M4">
            <v>0</v>
          </cell>
          <cell r="N4">
            <v>0</v>
          </cell>
        </row>
        <row r="5">
          <cell r="E5">
            <v>0</v>
          </cell>
          <cell r="F5">
            <v>3.0122464522719383E-9</v>
          </cell>
          <cell r="G5">
            <v>0</v>
          </cell>
          <cell r="H5">
            <v>2.0372681319713593E-10</v>
          </cell>
          <cell r="I5">
            <v>0</v>
          </cell>
          <cell r="J5">
            <v>-2.3283064365386963E-10</v>
          </cell>
          <cell r="K5">
            <v>-6.5256244852207601E-11</v>
          </cell>
          <cell r="L5">
            <v>1.0000334401865985E-2</v>
          </cell>
          <cell r="M5">
            <v>1.1757350648622378E-10</v>
          </cell>
          <cell r="N5">
            <v>-1.9208528101444244E-7</v>
          </cell>
          <cell r="O5">
            <v>-2.7898749976884574E-10</v>
          </cell>
          <cell r="P5">
            <v>7.0313035394065082E-9</v>
          </cell>
          <cell r="Q5">
            <v>0</v>
          </cell>
        </row>
        <row r="6">
          <cell r="L6">
            <v>1.7763568394002505E-15</v>
          </cell>
          <cell r="M6">
            <v>0</v>
          </cell>
          <cell r="N6">
            <v>0</v>
          </cell>
          <cell r="Q6">
            <v>0</v>
          </cell>
        </row>
        <row r="7">
          <cell r="N7">
            <v>0</v>
          </cell>
        </row>
        <row r="8">
          <cell r="L8">
            <v>0</v>
          </cell>
          <cell r="M8">
            <v>0</v>
          </cell>
          <cell r="N8">
            <v>0</v>
          </cell>
          <cell r="Q8">
            <v>0</v>
          </cell>
        </row>
        <row r="9">
          <cell r="L9">
            <v>4.5474735088646412E-13</v>
          </cell>
          <cell r="M9">
            <v>0</v>
          </cell>
          <cell r="N9">
            <v>0</v>
          </cell>
          <cell r="Q9">
            <v>0</v>
          </cell>
        </row>
        <row r="10">
          <cell r="L10">
            <v>0</v>
          </cell>
          <cell r="M10">
            <v>0</v>
          </cell>
          <cell r="N10">
            <v>0</v>
          </cell>
          <cell r="Q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  <cell r="H11">
            <v>0</v>
          </cell>
          <cell r="L11">
            <v>-1.8189894035458565E-12</v>
          </cell>
          <cell r="M11">
            <v>0</v>
          </cell>
          <cell r="N11">
            <v>0</v>
          </cell>
          <cell r="O11">
            <v>0</v>
          </cell>
          <cell r="Q11">
            <v>14695.400000002235</v>
          </cell>
        </row>
        <row r="12">
          <cell r="L12">
            <v>-7.1054273576010019E-15</v>
          </cell>
          <cell r="M12">
            <v>0</v>
          </cell>
          <cell r="N12">
            <v>0</v>
          </cell>
          <cell r="Q12">
            <v>0</v>
          </cell>
        </row>
        <row r="13">
          <cell r="E13">
            <v>11610227.020000029</v>
          </cell>
          <cell r="F13">
            <v>-72128833.340000004</v>
          </cell>
          <cell r="G13">
            <v>-84611942.690000013</v>
          </cell>
          <cell r="H13">
            <v>-18918821.760000002</v>
          </cell>
          <cell r="I13">
            <v>-10520694.099999998</v>
          </cell>
          <cell r="J13">
            <v>-2763007.42</v>
          </cell>
          <cell r="K13">
            <v>7149190.7000000002</v>
          </cell>
          <cell r="L13">
            <v>5836993.3100005779</v>
          </cell>
          <cell r="M13">
            <v>110087379.90999974</v>
          </cell>
          <cell r="N13">
            <v>137762199.7100001</v>
          </cell>
          <cell r="O13">
            <v>19027643.510000005</v>
          </cell>
          <cell r="P13">
            <v>45874191.100000024</v>
          </cell>
          <cell r="Q13">
            <v>1370784.7200002193</v>
          </cell>
        </row>
        <row r="14">
          <cell r="L14">
            <v>0</v>
          </cell>
          <cell r="Q14">
            <v>0</v>
          </cell>
        </row>
        <row r="15">
          <cell r="L15">
            <v>0</v>
          </cell>
          <cell r="N15">
            <v>0</v>
          </cell>
          <cell r="O15">
            <v>0</v>
          </cell>
        </row>
        <row r="16">
          <cell r="H16">
            <v>0</v>
          </cell>
          <cell r="L16">
            <v>-4.5474735088646412E-12</v>
          </cell>
          <cell r="M16">
            <v>0</v>
          </cell>
          <cell r="N16">
            <v>-1.127773430198431E-10</v>
          </cell>
          <cell r="O16">
            <v>0</v>
          </cell>
          <cell r="Q16">
            <v>1403254.5199998375</v>
          </cell>
        </row>
        <row r="17">
          <cell r="M17">
            <v>0</v>
          </cell>
        </row>
        <row r="18">
          <cell r="Q18">
            <v>0</v>
          </cell>
        </row>
        <row r="19">
          <cell r="K19">
            <v>-1.7462298274040222E-10</v>
          </cell>
          <cell r="L19">
            <v>2.852175384759903E-9</v>
          </cell>
          <cell r="M19">
            <v>-1.2042619346175343E-8</v>
          </cell>
          <cell r="N19">
            <v>2.0861534721916541E-9</v>
          </cell>
          <cell r="O19">
            <v>-1.0459189070388675E-9</v>
          </cell>
          <cell r="P19">
            <v>-4.6566128730773926E-10</v>
          </cell>
          <cell r="Q19">
            <v>0</v>
          </cell>
        </row>
        <row r="20">
          <cell r="F20">
            <v>0</v>
          </cell>
        </row>
        <row r="21">
          <cell r="G21">
            <v>0</v>
          </cell>
        </row>
        <row r="22">
          <cell r="L22">
            <v>0</v>
          </cell>
          <cell r="Q22">
            <v>0</v>
          </cell>
        </row>
        <row r="23">
          <cell r="Q23">
            <v>0</v>
          </cell>
        </row>
        <row r="24">
          <cell r="L24">
            <v>0</v>
          </cell>
        </row>
        <row r="25">
          <cell r="G25">
            <v>0</v>
          </cell>
        </row>
        <row r="26">
          <cell r="M26">
            <v>0</v>
          </cell>
          <cell r="Q26">
            <v>0</v>
          </cell>
        </row>
        <row r="27">
          <cell r="L27">
            <v>0</v>
          </cell>
          <cell r="M27">
            <v>0</v>
          </cell>
          <cell r="N27">
            <v>0</v>
          </cell>
        </row>
        <row r="28">
          <cell r="F28">
            <v>0</v>
          </cell>
          <cell r="Q28">
            <v>0</v>
          </cell>
        </row>
        <row r="29">
          <cell r="E29">
            <v>0</v>
          </cell>
          <cell r="F29">
            <v>0</v>
          </cell>
          <cell r="G29">
            <v>44870.63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N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</row>
        <row r="60">
          <cell r="L60">
            <v>1632260.2700000003</v>
          </cell>
          <cell r="M60">
            <v>1629326.31</v>
          </cell>
          <cell r="N60">
            <v>2976332.26</v>
          </cell>
        </row>
        <row r="61">
          <cell r="L61">
            <v>185884.84000000003</v>
          </cell>
          <cell r="M61">
            <v>155482.82</v>
          </cell>
          <cell r="N61">
            <v>240831.39</v>
          </cell>
        </row>
        <row r="62">
          <cell r="L62">
            <v>4358514.95</v>
          </cell>
          <cell r="M62">
            <v>3996616.16</v>
          </cell>
          <cell r="N62">
            <v>3883255.18</v>
          </cell>
          <cell r="O62">
            <v>0</v>
          </cell>
        </row>
        <row r="63">
          <cell r="E63">
            <v>14777658.030000001</v>
          </cell>
          <cell r="F63">
            <v>23740589.73</v>
          </cell>
          <cell r="G63">
            <v>21484795.690000001</v>
          </cell>
          <cell r="L63">
            <v>0</v>
          </cell>
        </row>
        <row r="64">
          <cell r="L64">
            <v>239431.85</v>
          </cell>
          <cell r="M64">
            <v>204634</v>
          </cell>
          <cell r="N64">
            <v>185190.02</v>
          </cell>
        </row>
        <row r="65">
          <cell r="L65">
            <v>3637389.75</v>
          </cell>
          <cell r="M65">
            <v>3108749.4000000004</v>
          </cell>
          <cell r="N65">
            <v>2813360.85</v>
          </cell>
        </row>
        <row r="299">
          <cell r="L299">
            <v>-5819443.3000000007</v>
          </cell>
          <cell r="M299">
            <v>-1368798.4500000002</v>
          </cell>
        </row>
      </sheetData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0"/>
  <sheetViews>
    <sheetView tabSelected="1" workbookViewId="0"/>
  </sheetViews>
  <sheetFormatPr defaultRowHeight="15"/>
  <cols>
    <col min="1" max="1" width="26.7109375" customWidth="1"/>
    <col min="2" max="2" width="9.7109375" style="6" bestFit="1" customWidth="1"/>
    <col min="3" max="5" width="14.28515625" bestFit="1" customWidth="1"/>
    <col min="6" max="6" width="13.28515625" bestFit="1" customWidth="1"/>
    <col min="7" max="7" width="1.7109375" customWidth="1"/>
    <col min="8" max="8" width="13.28515625" bestFit="1" customWidth="1"/>
    <col min="9" max="9" width="14.28515625" bestFit="1" customWidth="1"/>
    <col min="10" max="10" width="14" bestFit="1" customWidth="1"/>
    <col min="11" max="12" width="15.28515625" bestFit="1" customWidth="1"/>
  </cols>
  <sheetData>
    <row r="1" spans="1:12" ht="21">
      <c r="A1" s="1" t="s">
        <v>0</v>
      </c>
    </row>
    <row r="2" spans="1:12" ht="15.75">
      <c r="A2" s="14" t="s">
        <v>31</v>
      </c>
    </row>
    <row r="3" spans="1:12" s="2" customFormat="1">
      <c r="B3" s="7"/>
      <c r="K3" s="2" t="s">
        <v>27</v>
      </c>
      <c r="L3" s="2" t="s">
        <v>29</v>
      </c>
    </row>
    <row r="4" spans="1:12" s="4" customFormat="1">
      <c r="A4" s="4" t="s">
        <v>1</v>
      </c>
      <c r="B4" s="8" t="s">
        <v>7</v>
      </c>
      <c r="C4" s="4" t="s">
        <v>2</v>
      </c>
      <c r="D4" s="4" t="s">
        <v>3</v>
      </c>
      <c r="E4" s="4" t="s">
        <v>4</v>
      </c>
      <c r="F4" s="4" t="s">
        <v>5</v>
      </c>
      <c r="H4" s="4" t="s">
        <v>14</v>
      </c>
      <c r="I4" s="4" t="s">
        <v>16</v>
      </c>
      <c r="J4" s="4" t="s">
        <v>17</v>
      </c>
      <c r="K4" s="4" t="s">
        <v>28</v>
      </c>
      <c r="L4" s="4" t="s">
        <v>30</v>
      </c>
    </row>
    <row r="5" spans="1:12" ht="5.0999999999999996" customHeight="1"/>
    <row r="6" spans="1:12">
      <c r="A6" s="3" t="s">
        <v>6</v>
      </c>
    </row>
    <row r="7" spans="1:12" ht="5.0999999999999996" customHeight="1">
      <c r="E7" s="5"/>
    </row>
    <row r="8" spans="1:12">
      <c r="A8" t="s">
        <v>18</v>
      </c>
      <c r="B8" s="6">
        <v>1189</v>
      </c>
      <c r="C8" s="5">
        <f>'[1]BS By Fund'!L60</f>
        <v>1686366.33</v>
      </c>
      <c r="D8" s="5">
        <f>'[1]BS By Fund'!M60</f>
        <v>1682927.93</v>
      </c>
      <c r="E8" s="5">
        <f>'[1]BS By Fund'!N60</f>
        <v>3046868.99</v>
      </c>
      <c r="F8" s="5">
        <f>'[1]BS By Fund'!K60</f>
        <v>0</v>
      </c>
      <c r="H8" s="5">
        <f>'[1]BS By Fund'!O60</f>
        <v>0</v>
      </c>
      <c r="I8" s="5">
        <f>'[1]BS By Fund'!P60</f>
        <v>0</v>
      </c>
      <c r="J8" s="5">
        <f>'[1]BS By Fund'!Q60</f>
        <v>0</v>
      </c>
      <c r="K8" s="5">
        <f>SUM('[1]BS By Fund'!$E60:$Q60)</f>
        <v>6416163.25</v>
      </c>
      <c r="L8" s="5">
        <f t="shared" ref="L8:L13" si="0">SUM(C8:J8)</f>
        <v>6416163.25</v>
      </c>
    </row>
    <row r="9" spans="1:12">
      <c r="A9" t="s">
        <v>19</v>
      </c>
      <c r="B9" s="6">
        <v>1191</v>
      </c>
      <c r="C9" s="5">
        <f>'[1]BS By Fund'!L61</f>
        <v>185884.84000000003</v>
      </c>
      <c r="D9" s="5">
        <f>'[1]BS By Fund'!M61</f>
        <v>155482.82</v>
      </c>
      <c r="E9" s="5">
        <f>'[1]BS By Fund'!N61+'[1]BS By Fund'!G61</f>
        <v>240841.35</v>
      </c>
      <c r="F9" s="5">
        <f>'[1]BS By Fund'!K61</f>
        <v>0</v>
      </c>
      <c r="H9" s="5">
        <f>'[1]BS By Fund'!O61</f>
        <v>0</v>
      </c>
      <c r="I9" s="5">
        <f>'[1]BS By Fund'!P61</f>
        <v>0</v>
      </c>
      <c r="J9" s="5">
        <f>'[1]BS By Fund'!Q61</f>
        <v>0</v>
      </c>
      <c r="K9" s="5">
        <f>SUM('[1]BS By Fund'!$E61:$Q61)</f>
        <v>582209.01</v>
      </c>
      <c r="L9" s="5">
        <f t="shared" si="0"/>
        <v>582209.01</v>
      </c>
    </row>
    <row r="10" spans="1:12">
      <c r="A10" t="s">
        <v>20</v>
      </c>
      <c r="B10" s="6">
        <v>1192</v>
      </c>
      <c r="C10" s="5">
        <f>'[1]BS By Fund'!L62</f>
        <v>4300391.62</v>
      </c>
      <c r="D10" s="5">
        <f>'[1]BS By Fund'!M62</f>
        <v>3939271.96</v>
      </c>
      <c r="E10" s="5">
        <f>'[1]BS By Fund'!N62</f>
        <v>3810053.62</v>
      </c>
      <c r="F10" s="5">
        <f>'[1]BS By Fund'!K62</f>
        <v>0</v>
      </c>
      <c r="H10" s="5">
        <f>'[1]BS By Fund'!O62</f>
        <v>0</v>
      </c>
      <c r="I10" s="5">
        <f>'[1]BS By Fund'!P62</f>
        <v>0</v>
      </c>
      <c r="J10" s="5">
        <f>'[1]BS By Fund'!Q62</f>
        <v>0</v>
      </c>
      <c r="K10" s="5">
        <f>SUM('[1]BS By Fund'!$E62:$Q62)</f>
        <v>12049717.199999999</v>
      </c>
      <c r="L10" s="5">
        <f t="shared" si="0"/>
        <v>12049717.199999999</v>
      </c>
    </row>
    <row r="11" spans="1:12">
      <c r="A11" t="s">
        <v>21</v>
      </c>
      <c r="B11" s="6">
        <v>1217</v>
      </c>
      <c r="C11" s="5">
        <f>'[1]BS By Fund'!E$63</f>
        <v>5898908.0300000003</v>
      </c>
      <c r="D11" s="5">
        <f>'[1]BS By Fund'!F$63</f>
        <v>5041589.7300000004</v>
      </c>
      <c r="E11" s="5">
        <f>'[1]BS By Fund'!G$63</f>
        <v>4562545.6900000004</v>
      </c>
      <c r="F11" s="5">
        <f>'[1]BS By Fund'!J63</f>
        <v>0</v>
      </c>
      <c r="H11" s="5">
        <f>'[1]BS By Fund'!H63</f>
        <v>0</v>
      </c>
      <c r="I11" s="5">
        <f>'[1]BS By Fund'!I63</f>
        <v>0</v>
      </c>
      <c r="J11" s="5">
        <f>'[1]BS By Fund'!J63</f>
        <v>0</v>
      </c>
      <c r="K11" s="5">
        <f>SUM('[1]BS By Fund'!$E63:$Q63)</f>
        <v>15503043.450000003</v>
      </c>
      <c r="L11" s="5">
        <f t="shared" si="0"/>
        <v>15503043.450000003</v>
      </c>
    </row>
    <row r="12" spans="1:12">
      <c r="A12" t="s">
        <v>22</v>
      </c>
      <c r="B12" s="6">
        <v>1219</v>
      </c>
      <c r="C12" s="5">
        <f>'[1]BS By Fund'!L64</f>
        <v>268677.85000000003</v>
      </c>
      <c r="D12" s="5">
        <f>'[1]BS By Fund'!M64</f>
        <v>229629.53</v>
      </c>
      <c r="E12" s="5">
        <f>'[1]BS By Fund'!N64</f>
        <v>207810.51</v>
      </c>
      <c r="F12" s="5">
        <f>'[1]BS By Fund'!K64</f>
        <v>0</v>
      </c>
      <c r="H12" s="5">
        <f>'[1]BS By Fund'!O64</f>
        <v>0</v>
      </c>
      <c r="I12" s="5">
        <f>'[1]BS By Fund'!P64</f>
        <v>0</v>
      </c>
      <c r="J12" s="5">
        <f>'[1]BS By Fund'!Q64</f>
        <v>0</v>
      </c>
      <c r="K12" s="5">
        <f>SUM('[1]BS By Fund'!$E64:$Q64)</f>
        <v>706117.89</v>
      </c>
      <c r="L12" s="5">
        <f t="shared" si="0"/>
        <v>706117.89</v>
      </c>
    </row>
    <row r="13" spans="1:12">
      <c r="A13" t="s">
        <v>9</v>
      </c>
      <c r="B13" s="11" t="s">
        <v>10</v>
      </c>
      <c r="C13" s="5">
        <f>-'[1]BS By Fund'!L$302</f>
        <v>5926274.9800000004</v>
      </c>
      <c r="D13" s="5">
        <f>-'[1]BS By Fund'!M$302</f>
        <v>1448836.91</v>
      </c>
      <c r="E13" s="5">
        <f>-'[1]BS By Fund'!N$302</f>
        <v>0</v>
      </c>
      <c r="F13" s="5">
        <f>-'[1]BS By Fund'!K$302</f>
        <v>0</v>
      </c>
      <c r="H13" s="5">
        <f>'[1]BS By Fund'!O302</f>
        <v>0</v>
      </c>
      <c r="I13" s="5">
        <f>'[1]BS By Fund'!P302</f>
        <v>0</v>
      </c>
      <c r="J13" s="5">
        <f>'[1]BS By Fund'!Q302</f>
        <v>0</v>
      </c>
      <c r="K13" s="5">
        <f>-SUM('[1]BS By Fund'!$E$302:$Q$302)</f>
        <v>7375111.8900000006</v>
      </c>
      <c r="L13" s="5">
        <f t="shared" si="0"/>
        <v>7375111.8900000006</v>
      </c>
    </row>
    <row r="14" spans="1:12">
      <c r="A14" t="s">
        <v>8</v>
      </c>
      <c r="C14" s="9">
        <f>SUM(C7:C13)</f>
        <v>18266503.649999999</v>
      </c>
      <c r="D14" s="9">
        <f>SUM(D7:D13)</f>
        <v>12497738.880000001</v>
      </c>
      <c r="E14" s="9">
        <f>SUM(E7:E12)</f>
        <v>11868120.160000002</v>
      </c>
      <c r="F14" s="9">
        <f>SUM(F7:F12)</f>
        <v>0</v>
      </c>
      <c r="H14" s="9">
        <f>SUM(H7:H12)</f>
        <v>0</v>
      </c>
      <c r="I14" s="9">
        <f>SUM(I7:I12)</f>
        <v>0</v>
      </c>
      <c r="J14" s="9">
        <f>SUM(J7:J12)</f>
        <v>0</v>
      </c>
      <c r="K14" s="9">
        <f>SUM(K7:K13)</f>
        <v>42632362.690000005</v>
      </c>
      <c r="L14" s="9">
        <f>SUM(L7:L13)</f>
        <v>42632362.690000005</v>
      </c>
    </row>
    <row r="15" spans="1:12">
      <c r="B15" s="13" t="s">
        <v>23</v>
      </c>
      <c r="C15" s="12">
        <f>'[1]CAFR BS'!D$25</f>
        <v>18266504</v>
      </c>
      <c r="D15" s="12">
        <f>'[1]CAFR BS'!E$25</f>
        <v>12497739</v>
      </c>
      <c r="E15" s="12">
        <f>'[1]CAFR BS'!F$25</f>
        <v>11868120</v>
      </c>
      <c r="F15" s="12">
        <f>'[1]CAFR BS'!G$25</f>
        <v>0</v>
      </c>
      <c r="H15" s="12">
        <f>'[1]CAFR BS'!J$25</f>
        <v>0</v>
      </c>
      <c r="I15" s="12">
        <f>'[1]CAFR BS'!K$25</f>
        <v>0</v>
      </c>
      <c r="J15" s="12">
        <v>0</v>
      </c>
      <c r="K15" s="12">
        <f>'[1]CAFR BS'!$M$25</f>
        <v>42632363</v>
      </c>
      <c r="L15" s="9">
        <f>SUM(C15:J15)</f>
        <v>42632363</v>
      </c>
    </row>
    <row r="16" spans="1:12">
      <c r="C16" s="10"/>
      <c r="D16" s="10"/>
      <c r="E16" s="10"/>
    </row>
    <row r="17" spans="1:12">
      <c r="A17" t="s">
        <v>26</v>
      </c>
      <c r="B17" s="6">
        <v>1190</v>
      </c>
      <c r="C17" s="5">
        <f>'[1]BS By Fund'!L65</f>
        <v>3637389.75</v>
      </c>
      <c r="D17" s="5">
        <f>'[1]BS By Fund'!M65</f>
        <v>3108749.4000000004</v>
      </c>
      <c r="E17" s="5">
        <f>'[1]BS By Fund'!N65</f>
        <v>2813360.85</v>
      </c>
      <c r="F17" s="5">
        <f>'[1]BS By Fund'!O65</f>
        <v>0</v>
      </c>
      <c r="K17" s="5">
        <f>SUM('[1]BS By Fund'!$E65:$Q65)</f>
        <v>9559500</v>
      </c>
      <c r="L17" s="5">
        <f>SUM(C17:J17)</f>
        <v>9559500</v>
      </c>
    </row>
    <row r="18" spans="1:12">
      <c r="B18" s="13" t="s">
        <v>23</v>
      </c>
      <c r="C18" s="12">
        <f>'[1]CAFR BS'!D$26</f>
        <v>3637390</v>
      </c>
      <c r="D18" s="12">
        <f>'[1]CAFR BS'!E$26</f>
        <v>3108749</v>
      </c>
      <c r="E18" s="12">
        <f>'[1]CAFR BS'!F$26</f>
        <v>2813361</v>
      </c>
      <c r="F18" s="12">
        <f>'[1]CAFR BS'!G$26</f>
        <v>0</v>
      </c>
      <c r="H18" s="12">
        <f>'[1]CAFR BS'!J$26</f>
        <v>0</v>
      </c>
      <c r="I18" s="12">
        <f>'[1]CAFR BS'!K$26</f>
        <v>0</v>
      </c>
      <c r="J18" s="12">
        <v>0</v>
      </c>
      <c r="K18" s="12">
        <f>'[1]CAFR BS'!$M$26</f>
        <v>9559500</v>
      </c>
      <c r="L18" s="9">
        <f>SUM(C18:J18)</f>
        <v>9559500</v>
      </c>
    </row>
    <row r="20" spans="1:12">
      <c r="A20" t="s">
        <v>11</v>
      </c>
      <c r="B20" s="6" t="s">
        <v>12</v>
      </c>
      <c r="C20" s="5">
        <f>SUM('[1]BS By Fund'!L$2:L$30)+SUM('[1]BS By Fund'!E$2:E$30)</f>
        <v>18687176.209999416</v>
      </c>
      <c r="D20" s="5">
        <f>SUM('[1]BS By Fund'!M$2:M$30)+SUM('[1]BS By Fund'!F$2:F$30)</f>
        <v>44864338.339999944</v>
      </c>
      <c r="E20" s="5">
        <f>SUM('[1]BS By Fund'!N$2:N$30)+SUM('[1]BS By Fund'!G$2:G$30)</f>
        <v>64927073.009999722</v>
      </c>
      <c r="F20" s="5">
        <f>SUM('[1]BS By Fund'!K$2:K$30)+SUM('[1]BS By Fund'!J$2:J$30)</f>
        <v>5160990.5</v>
      </c>
      <c r="H20" s="5">
        <f>SUM('[1]BS By Fund'!H$2:H$30)+SUM('[1]BS By Fund'!O$2:O$30)</f>
        <v>1574924.609999992</v>
      </c>
      <c r="I20" s="5">
        <f>SUM('[1]BS By Fund'!I$2:I$30)+SUM('[1]BS By Fund'!P$2:P$30)</f>
        <v>32948919.150000006</v>
      </c>
      <c r="J20" s="5">
        <f>SUM('[1]BS By Fund'!Q$2:Q$30)</f>
        <v>2909379.650000127</v>
      </c>
      <c r="K20" s="5">
        <f>SUM('[1]BS By Fund'!$E$2:$Q$30)</f>
        <v>171072801.46999922</v>
      </c>
      <c r="L20" s="5">
        <f>SUM(C20:J20)</f>
        <v>171072801.46999919</v>
      </c>
    </row>
    <row r="21" spans="1:12">
      <c r="A21" t="s">
        <v>13</v>
      </c>
      <c r="B21" s="6">
        <v>1840</v>
      </c>
      <c r="C21" s="5">
        <f>'[1]BS By Fund'!L$31+'[1]BS By Fund'!E$31</f>
        <v>7.4505805969238281E-9</v>
      </c>
      <c r="D21" s="5">
        <f>'[1]BS By Fund'!M$31+'[1]BS By Fund'!F$31</f>
        <v>-182424.66000000108</v>
      </c>
      <c r="E21" s="5">
        <f>'[1]BS By Fund'!N$31+'[1]BS By Fund'!G$31</f>
        <v>0</v>
      </c>
      <c r="F21" s="5">
        <f>'[1]BS By Fund'!K$31+'[1]BS By Fund'!J$31</f>
        <v>0</v>
      </c>
      <c r="H21" s="5">
        <f>'[1]BS By Fund'!H$31+'[1]BS By Fund'!O$31</f>
        <v>9.3132257461547852E-10</v>
      </c>
      <c r="I21" s="5">
        <f>'[1]BS By Fund'!I$31+'[1]BS By Fund'!P$31</f>
        <v>0</v>
      </c>
      <c r="J21" s="5">
        <f>'[1]BS By Fund'!Q$31</f>
        <v>0</v>
      </c>
      <c r="K21" s="5">
        <f>SUM('[1]BS By Fund'!$E$31:$Q$31)</f>
        <v>-182424.6599999927</v>
      </c>
      <c r="L21" s="5">
        <f>SUM(C21:J21)</f>
        <v>-182424.6599999927</v>
      </c>
    </row>
    <row r="22" spans="1:12">
      <c r="A22" t="s">
        <v>15</v>
      </c>
      <c r="B22" s="6">
        <v>2350</v>
      </c>
      <c r="C22" s="5">
        <f>-C13</f>
        <v>-5926274.9800000004</v>
      </c>
      <c r="D22" s="5">
        <f>-D13</f>
        <v>-1448836.91</v>
      </c>
      <c r="E22" s="5">
        <f>-E13</f>
        <v>0</v>
      </c>
      <c r="F22" s="5">
        <f>-F13</f>
        <v>0</v>
      </c>
      <c r="H22" s="5">
        <f>-H13</f>
        <v>0</v>
      </c>
      <c r="I22" s="5">
        <f>-I13</f>
        <v>0</v>
      </c>
      <c r="J22" s="5">
        <f>-J13</f>
        <v>0</v>
      </c>
      <c r="K22" s="5">
        <f>-K13</f>
        <v>-7375111.8900000006</v>
      </c>
      <c r="L22" s="5">
        <f>SUM(C22:J22)</f>
        <v>-7375111.8900000006</v>
      </c>
    </row>
    <row r="23" spans="1:12">
      <c r="C23" s="9">
        <f>SUM(C20:C22)</f>
        <v>12760901.229999423</v>
      </c>
      <c r="D23" s="9">
        <f>SUM(D20:D22)</f>
        <v>43233076.769999944</v>
      </c>
      <c r="E23" s="9">
        <f>SUM(E20:E22)</f>
        <v>64927073.009999722</v>
      </c>
      <c r="F23" s="9">
        <f>SUM(F20:F22)</f>
        <v>5160990.5</v>
      </c>
      <c r="H23" s="9">
        <f>SUM(H20:H22)</f>
        <v>1574924.6099999929</v>
      </c>
      <c r="I23" s="9">
        <f>SUM(I20:I22)</f>
        <v>32948919.150000006</v>
      </c>
      <c r="J23" s="9">
        <f>SUM(J20:J22)</f>
        <v>2909379.650000127</v>
      </c>
      <c r="K23" s="9">
        <f>SUM(K20:K22)</f>
        <v>163515264.91999924</v>
      </c>
      <c r="L23" s="9">
        <f>SUM(L20:L22)</f>
        <v>163515264.91999918</v>
      </c>
    </row>
    <row r="24" spans="1:12">
      <c r="B24" s="13" t="s">
        <v>24</v>
      </c>
      <c r="C24" s="5">
        <f>$J20*0.5</f>
        <v>1454689.8250000635</v>
      </c>
      <c r="D24" s="5">
        <f>$J20*0.25</f>
        <v>727344.91250003176</v>
      </c>
      <c r="E24" s="5">
        <f>$J20*0.25</f>
        <v>727344.91250003176</v>
      </c>
      <c r="F24" s="5">
        <v>0</v>
      </c>
      <c r="H24" s="5">
        <v>0</v>
      </c>
      <c r="I24" s="5">
        <v>0</v>
      </c>
      <c r="J24" s="5">
        <f>-SUM(C24:E24)</f>
        <v>-2909379.650000127</v>
      </c>
      <c r="K24" s="5">
        <v>0</v>
      </c>
      <c r="L24" s="5">
        <f>SUM(C24:K24)</f>
        <v>0</v>
      </c>
    </row>
    <row r="25" spans="1:12">
      <c r="B25" s="13" t="s">
        <v>25</v>
      </c>
      <c r="C25" s="9">
        <f>C23+C24</f>
        <v>14215591.054999486</v>
      </c>
      <c r="D25" s="9">
        <f>D23+D24</f>
        <v>43960421.682499975</v>
      </c>
      <c r="E25" s="9">
        <f>E23+E24</f>
        <v>65654417.922499754</v>
      </c>
      <c r="F25" s="9">
        <f>F23+F24</f>
        <v>5160990.5</v>
      </c>
      <c r="H25" s="9">
        <f>H23+H24</f>
        <v>1574924.6099999929</v>
      </c>
      <c r="I25" s="9">
        <f>I23+I24</f>
        <v>32948919.150000006</v>
      </c>
      <c r="J25" s="9">
        <f>J23+J24</f>
        <v>0</v>
      </c>
      <c r="K25" s="9">
        <f>K23+K24</f>
        <v>163515264.91999924</v>
      </c>
      <c r="L25" s="9">
        <f>L23+L24</f>
        <v>163515264.91999918</v>
      </c>
    </row>
    <row r="26" spans="1:12">
      <c r="B26" s="13" t="s">
        <v>23</v>
      </c>
      <c r="C26" s="12">
        <f>'[1]CAFR BS'!D$14</f>
        <v>14215591</v>
      </c>
      <c r="D26" s="12">
        <f>'[1]CAFR BS'!E$14</f>
        <v>43960422</v>
      </c>
      <c r="E26" s="12">
        <f>'[1]CAFR BS'!F$14</f>
        <v>65654418</v>
      </c>
      <c r="F26" s="12">
        <f>'[1]CAFR BS'!G$14</f>
        <v>5160991</v>
      </c>
      <c r="H26" s="12">
        <f>'[1]CAFR BS'!J$14</f>
        <v>1574925</v>
      </c>
      <c r="I26" s="12">
        <f>'[1]CAFR BS'!K$14</f>
        <v>32948919</v>
      </c>
      <c r="J26" s="12">
        <v>0</v>
      </c>
      <c r="K26" s="12">
        <f>'[1]CAFR BS'!$M$14</f>
        <v>163515266</v>
      </c>
      <c r="L26" s="9">
        <f>SUM(C26:J26)</f>
        <v>163515266</v>
      </c>
    </row>
    <row r="28" spans="1:12">
      <c r="B28" s="13" t="s">
        <v>33</v>
      </c>
      <c r="C28" s="12">
        <f>C15+C18+C26</f>
        <v>36119485</v>
      </c>
      <c r="D28" s="12">
        <f t="shared" ref="D28:L28" si="1">D15+D18+D26</f>
        <v>59566910</v>
      </c>
      <c r="E28" s="12">
        <f t="shared" si="1"/>
        <v>80335899</v>
      </c>
      <c r="F28" s="12">
        <f t="shared" si="1"/>
        <v>5160991</v>
      </c>
      <c r="H28" s="12">
        <f t="shared" si="1"/>
        <v>1574925</v>
      </c>
      <c r="I28" s="12">
        <f t="shared" si="1"/>
        <v>32948919</v>
      </c>
      <c r="J28" s="12">
        <f t="shared" si="1"/>
        <v>0</v>
      </c>
      <c r="K28" s="12">
        <f t="shared" si="1"/>
        <v>215707129</v>
      </c>
      <c r="L28" s="12">
        <f t="shared" si="1"/>
        <v>215707129</v>
      </c>
    </row>
    <row r="30" spans="1:12">
      <c r="B30" s="15" t="s">
        <v>34</v>
      </c>
      <c r="C30" s="12">
        <f>C28-'FY2011'!C28</f>
        <v>-7746147</v>
      </c>
      <c r="D30" s="12">
        <f>D28-'FY2011'!D28</f>
        <v>-11773173</v>
      </c>
      <c r="E30" s="12">
        <f>E28-'FY2011'!E28</f>
        <v>-5098113</v>
      </c>
      <c r="F30" s="12">
        <f>F28-'FY2011'!F28</f>
        <v>774808</v>
      </c>
      <c r="H30" s="12">
        <f>H28-'FY2011'!H28</f>
        <v>1465897</v>
      </c>
      <c r="I30" s="12">
        <f>I28-'FY2011'!I28</f>
        <v>-2404578</v>
      </c>
      <c r="J30" s="12">
        <f>J28-'FY2011'!J28</f>
        <v>0</v>
      </c>
      <c r="K30" s="12">
        <f>K28-'FY2011'!K28</f>
        <v>-24781306</v>
      </c>
      <c r="L30" s="12">
        <f>L28-'FY2011'!L28</f>
        <v>-24781306</v>
      </c>
    </row>
  </sheetData>
  <printOptions horizontalCentered="1"/>
  <pageMargins left="0.2" right="0.2" top="0.75" bottom="0.75" header="0.3" footer="0.3"/>
  <pageSetup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8"/>
  <sheetViews>
    <sheetView topLeftCell="A7" workbookViewId="0">
      <selection activeCell="A28" sqref="A28:XFD28"/>
    </sheetView>
  </sheetViews>
  <sheetFormatPr defaultRowHeight="15"/>
  <cols>
    <col min="1" max="1" width="26.7109375" customWidth="1"/>
    <col min="2" max="2" width="9.7109375" style="6" bestFit="1" customWidth="1"/>
    <col min="3" max="5" width="14.28515625" bestFit="1" customWidth="1"/>
    <col min="6" max="6" width="13.28515625" bestFit="1" customWidth="1"/>
    <col min="7" max="7" width="1.7109375" customWidth="1"/>
    <col min="8" max="8" width="13.28515625" bestFit="1" customWidth="1"/>
    <col min="9" max="9" width="14.28515625" bestFit="1" customWidth="1"/>
    <col min="10" max="10" width="14" bestFit="1" customWidth="1"/>
    <col min="11" max="12" width="15.28515625" bestFit="1" customWidth="1"/>
  </cols>
  <sheetData>
    <row r="1" spans="1:12" ht="21">
      <c r="A1" s="1" t="s">
        <v>0</v>
      </c>
    </row>
    <row r="2" spans="1:12" ht="15.75">
      <c r="A2" s="14" t="s">
        <v>32</v>
      </c>
    </row>
    <row r="3" spans="1:12" s="2" customFormat="1">
      <c r="B3" s="7"/>
      <c r="K3" s="2" t="s">
        <v>27</v>
      </c>
      <c r="L3" s="2" t="s">
        <v>29</v>
      </c>
    </row>
    <row r="4" spans="1:12" s="4" customFormat="1">
      <c r="A4" s="4" t="s">
        <v>1</v>
      </c>
      <c r="B4" s="8" t="s">
        <v>7</v>
      </c>
      <c r="C4" s="4" t="s">
        <v>2</v>
      </c>
      <c r="D4" s="4" t="s">
        <v>3</v>
      </c>
      <c r="E4" s="4" t="s">
        <v>4</v>
      </c>
      <c r="F4" s="4" t="s">
        <v>5</v>
      </c>
      <c r="H4" s="4" t="s">
        <v>14</v>
      </c>
      <c r="I4" s="4" t="s">
        <v>16</v>
      </c>
      <c r="J4" s="4" t="s">
        <v>17</v>
      </c>
      <c r="K4" s="4" t="s">
        <v>28</v>
      </c>
      <c r="L4" s="4" t="s">
        <v>30</v>
      </c>
    </row>
    <row r="5" spans="1:12" ht="5.0999999999999996" customHeight="1"/>
    <row r="6" spans="1:12">
      <c r="A6" s="3" t="s">
        <v>6</v>
      </c>
    </row>
    <row r="7" spans="1:12" ht="5.0999999999999996" customHeight="1">
      <c r="E7" s="5"/>
    </row>
    <row r="8" spans="1:12">
      <c r="A8" t="s">
        <v>18</v>
      </c>
      <c r="B8" s="6">
        <v>1189</v>
      </c>
      <c r="C8" s="5">
        <f>'[2]BS By Fund'!L60</f>
        <v>1632260.2700000003</v>
      </c>
      <c r="D8" s="5">
        <f>'[2]BS By Fund'!M60</f>
        <v>1629326.31</v>
      </c>
      <c r="E8" s="5">
        <f>'[2]BS By Fund'!N60</f>
        <v>2976332.26</v>
      </c>
      <c r="F8" s="5">
        <f>'[2]BS By Fund'!K60</f>
        <v>0</v>
      </c>
      <c r="H8" s="5">
        <f>'[2]BS By Fund'!O60</f>
        <v>0</v>
      </c>
      <c r="I8" s="5">
        <f>'[2]BS By Fund'!P60</f>
        <v>0</v>
      </c>
      <c r="J8" s="5">
        <f>'[2]BS By Fund'!Q60</f>
        <v>0</v>
      </c>
      <c r="K8" s="5">
        <f>SUM('[2]BS By Fund'!$E60:$Q60)</f>
        <v>6237918.8399999999</v>
      </c>
      <c r="L8" s="5">
        <f t="shared" ref="L8:L13" si="0">SUM(C8:J8)</f>
        <v>6237918.8399999999</v>
      </c>
    </row>
    <row r="9" spans="1:12">
      <c r="A9" t="s">
        <v>19</v>
      </c>
      <c r="B9" s="6">
        <v>1191</v>
      </c>
      <c r="C9" s="5">
        <f>'[2]BS By Fund'!L61</f>
        <v>185884.84000000003</v>
      </c>
      <c r="D9" s="5">
        <f>'[2]BS By Fund'!M61</f>
        <v>155482.82</v>
      </c>
      <c r="E9" s="5">
        <f>'[2]BS By Fund'!N61</f>
        <v>240831.39</v>
      </c>
      <c r="F9" s="5">
        <f>'[2]BS By Fund'!K61</f>
        <v>0</v>
      </c>
      <c r="H9" s="5">
        <f>'[2]BS By Fund'!O61</f>
        <v>0</v>
      </c>
      <c r="I9" s="5">
        <f>'[2]BS By Fund'!P61</f>
        <v>0</v>
      </c>
      <c r="J9" s="5">
        <f>'[2]BS By Fund'!Q61</f>
        <v>0</v>
      </c>
      <c r="K9" s="5">
        <f>SUM('[2]BS By Fund'!$E61:$Q61)</f>
        <v>582199.05000000005</v>
      </c>
      <c r="L9" s="5">
        <f t="shared" si="0"/>
        <v>582199.05000000005</v>
      </c>
    </row>
    <row r="10" spans="1:12">
      <c r="A10" t="s">
        <v>20</v>
      </c>
      <c r="B10" s="6">
        <v>1192</v>
      </c>
      <c r="C10" s="5">
        <f>'[2]BS By Fund'!L62</f>
        <v>4358514.95</v>
      </c>
      <c r="D10" s="5">
        <f>'[2]BS By Fund'!M62</f>
        <v>3996616.16</v>
      </c>
      <c r="E10" s="5">
        <f>'[2]BS By Fund'!N62</f>
        <v>3883255.18</v>
      </c>
      <c r="F10" s="5">
        <f>'[2]BS By Fund'!K62</f>
        <v>0</v>
      </c>
      <c r="H10" s="5">
        <f>'[2]BS By Fund'!O62</f>
        <v>0</v>
      </c>
      <c r="I10" s="5">
        <f>'[2]BS By Fund'!P62</f>
        <v>0</v>
      </c>
      <c r="J10" s="5">
        <f>'[2]BS By Fund'!Q62</f>
        <v>0</v>
      </c>
      <c r="K10" s="5">
        <f>SUM('[2]BS By Fund'!$E62:$Q62)</f>
        <v>12238386.290000001</v>
      </c>
      <c r="L10" s="5">
        <f t="shared" si="0"/>
        <v>12238386.290000001</v>
      </c>
    </row>
    <row r="11" spans="1:12">
      <c r="A11" t="s">
        <v>21</v>
      </c>
      <c r="B11" s="6">
        <v>1217</v>
      </c>
      <c r="C11" s="5">
        <f>'[2]BS By Fund'!L63+'[2]BS By Fund'!E$63</f>
        <v>14777658.030000001</v>
      </c>
      <c r="D11" s="5">
        <f>'[2]BS By Fund'!M63+'[2]BS By Fund'!F$63</f>
        <v>23740589.73</v>
      </c>
      <c r="E11" s="5">
        <f>'[2]BS By Fund'!N63+'[2]BS By Fund'!G$63</f>
        <v>21484795.690000001</v>
      </c>
      <c r="F11" s="5">
        <f>'[2]BS By Fund'!K63+'[2]BS By Fund'!$J$63</f>
        <v>0</v>
      </c>
      <c r="H11" s="5">
        <f>'[2]BS By Fund'!O63+'[2]BS By Fund'!$H$63</f>
        <v>0</v>
      </c>
      <c r="I11" s="5">
        <f>'[2]BS By Fund'!P63</f>
        <v>0</v>
      </c>
      <c r="J11" s="5">
        <f>'[2]BS By Fund'!Q63</f>
        <v>0</v>
      </c>
      <c r="K11" s="5">
        <f>SUM('[2]BS By Fund'!$E63:$Q63)</f>
        <v>60003043.450000003</v>
      </c>
      <c r="L11" s="5">
        <f t="shared" si="0"/>
        <v>60003043.450000003</v>
      </c>
    </row>
    <row r="12" spans="1:12">
      <c r="A12" t="s">
        <v>22</v>
      </c>
      <c r="B12" s="6">
        <v>1219</v>
      </c>
      <c r="C12" s="5">
        <f>'[2]BS By Fund'!L64</f>
        <v>239431.85</v>
      </c>
      <c r="D12" s="5">
        <f>'[2]BS By Fund'!M64</f>
        <v>204634</v>
      </c>
      <c r="E12" s="5">
        <f>'[2]BS By Fund'!N64</f>
        <v>185190.02</v>
      </c>
      <c r="F12" s="5">
        <f>'[2]BS By Fund'!K64</f>
        <v>0</v>
      </c>
      <c r="H12" s="5">
        <f>'[2]BS By Fund'!O64</f>
        <v>0</v>
      </c>
      <c r="I12" s="5">
        <f>'[2]BS By Fund'!P64</f>
        <v>0</v>
      </c>
      <c r="J12" s="5">
        <f>'[2]BS By Fund'!Q64</f>
        <v>0</v>
      </c>
      <c r="K12" s="5">
        <f>SUM('[2]BS By Fund'!$E64:$Q64)</f>
        <v>629255.87</v>
      </c>
      <c r="L12" s="5">
        <f t="shared" si="0"/>
        <v>629255.87</v>
      </c>
    </row>
    <row r="13" spans="1:12">
      <c r="A13" t="s">
        <v>9</v>
      </c>
      <c r="B13" s="11" t="s">
        <v>10</v>
      </c>
      <c r="C13" s="5">
        <f>-'[2]BS By Fund'!L$299</f>
        <v>5819443.3000000007</v>
      </c>
      <c r="D13" s="5">
        <f>-'[2]BS By Fund'!M$299</f>
        <v>1368798.4500000002</v>
      </c>
      <c r="E13" s="5">
        <f>-'[2]BS By Fund'!N$299</f>
        <v>0</v>
      </c>
      <c r="F13" s="5">
        <f>-'[2]BS By Fund'!K$299</f>
        <v>0</v>
      </c>
      <c r="H13" s="5">
        <f>-'[2]BS By Fund'!O$299</f>
        <v>0</v>
      </c>
      <c r="I13" s="5">
        <f>-'[2]BS By Fund'!P$299</f>
        <v>0</v>
      </c>
      <c r="J13" s="5">
        <f>-'[2]BS By Fund'!Q$299</f>
        <v>0</v>
      </c>
      <c r="K13" s="5">
        <f>-SUM('[2]BS By Fund'!$E$299:$Q$299)</f>
        <v>7188241.7500000009</v>
      </c>
      <c r="L13" s="5">
        <f t="shared" si="0"/>
        <v>7188241.7500000009</v>
      </c>
    </row>
    <row r="14" spans="1:12">
      <c r="A14" t="s">
        <v>8</v>
      </c>
      <c r="C14" s="9">
        <f>SUM(C7:C13)</f>
        <v>27013193.240000006</v>
      </c>
      <c r="D14" s="9">
        <f>SUM(D7:D13)</f>
        <v>31095447.469999999</v>
      </c>
      <c r="E14" s="9">
        <f>SUM(E7:E12)</f>
        <v>28770404.540000003</v>
      </c>
      <c r="F14" s="9">
        <f>SUM(F7:F12)</f>
        <v>0</v>
      </c>
      <c r="H14" s="9">
        <f>SUM(H7:H12)</f>
        <v>0</v>
      </c>
      <c r="I14" s="9">
        <f>SUM(I7:I12)</f>
        <v>0</v>
      </c>
      <c r="J14" s="9">
        <f>SUM(J7:J12)</f>
        <v>0</v>
      </c>
      <c r="K14" s="9">
        <f>SUM(K7:K13)</f>
        <v>86879045.25</v>
      </c>
      <c r="L14" s="9">
        <f>SUM(L7:L13)</f>
        <v>86879045.25</v>
      </c>
    </row>
    <row r="15" spans="1:12">
      <c r="B15" s="13" t="s">
        <v>23</v>
      </c>
      <c r="C15" s="12">
        <f>'[2]CAFR BS'!D$25</f>
        <v>27013193</v>
      </c>
      <c r="D15" s="12">
        <f>'[2]CAFR BS'!E$25</f>
        <v>31095447</v>
      </c>
      <c r="E15" s="12">
        <f>'[2]CAFR BS'!F$25</f>
        <v>28770405</v>
      </c>
      <c r="F15" s="12">
        <f>'[1]CAFR BS'!G$25</f>
        <v>0</v>
      </c>
      <c r="H15" s="12">
        <f>'[1]CAFR BS'!J$25</f>
        <v>0</v>
      </c>
      <c r="I15" s="12">
        <f>'[1]CAFR BS'!K$25</f>
        <v>0</v>
      </c>
      <c r="J15" s="12">
        <v>0</v>
      </c>
      <c r="K15" s="12">
        <f>'[2]CAFR BS'!$M$25</f>
        <v>86879045</v>
      </c>
      <c r="L15" s="9">
        <f>SUM(C15:J15)</f>
        <v>86879045</v>
      </c>
    </row>
    <row r="16" spans="1:12">
      <c r="C16" s="10"/>
      <c r="D16" s="10"/>
      <c r="E16" s="10"/>
    </row>
    <row r="17" spans="1:12">
      <c r="A17" t="s">
        <v>26</v>
      </c>
      <c r="B17" s="6">
        <v>1190</v>
      </c>
      <c r="C17" s="5">
        <f>'[2]BS By Fund'!L65</f>
        <v>3637389.75</v>
      </c>
      <c r="D17" s="5">
        <f>'[2]BS By Fund'!M65</f>
        <v>3108749.4000000004</v>
      </c>
      <c r="E17" s="5">
        <f>'[2]BS By Fund'!N65</f>
        <v>2813360.85</v>
      </c>
      <c r="F17" s="5">
        <f>'[1]BS By Fund'!O65</f>
        <v>0</v>
      </c>
      <c r="K17" s="5">
        <f>SUM('[1]BS By Fund'!$E65:$Q65)</f>
        <v>9559500</v>
      </c>
      <c r="L17" s="5">
        <f>SUM(C17:J17)</f>
        <v>9559500</v>
      </c>
    </row>
    <row r="18" spans="1:12">
      <c r="B18" s="13" t="s">
        <v>23</v>
      </c>
      <c r="C18" s="12">
        <f>'[2]CAFR BS'!D$26</f>
        <v>3637390</v>
      </c>
      <c r="D18" s="12">
        <f>'[2]CAFR BS'!E$26</f>
        <v>3108749</v>
      </c>
      <c r="E18" s="12">
        <f>'[2]CAFR BS'!F$26</f>
        <v>2813361</v>
      </c>
      <c r="F18" s="12">
        <f>'[1]CAFR BS'!G$26</f>
        <v>0</v>
      </c>
      <c r="H18" s="12">
        <f>'[1]CAFR BS'!J$26</f>
        <v>0</v>
      </c>
      <c r="I18" s="12">
        <f>'[1]CAFR BS'!K$26</f>
        <v>0</v>
      </c>
      <c r="J18" s="12">
        <v>0</v>
      </c>
      <c r="K18" s="12">
        <f>'[1]CAFR BS'!$M$26</f>
        <v>9559500</v>
      </c>
      <c r="L18" s="9">
        <f>SUM(C18:J18)</f>
        <v>9559500</v>
      </c>
    </row>
    <row r="20" spans="1:12">
      <c r="A20" t="s">
        <v>11</v>
      </c>
      <c r="B20" s="6" t="s">
        <v>12</v>
      </c>
      <c r="C20" s="5">
        <f>SUM('[2]BS By Fund'!L$2:L$30)+SUM('[2]BS By Fund'!E$2:E$30)</f>
        <v>17640125.010000933</v>
      </c>
      <c r="D20" s="5">
        <f>SUM('[2]BS By Fund'!M$2:M$30)+SUM('[2]BS By Fund'!F$2:F$30)</f>
        <v>37807501.219999731</v>
      </c>
      <c r="E20" s="5">
        <f>SUM('[2]BS By Fund'!N$2:N$30)+SUM('[2]BS By Fund'!G$2:G$30)</f>
        <v>53153061.679999873</v>
      </c>
      <c r="F20" s="5">
        <f>SUM('[2]BS By Fund'!K$2:K$30)+SUM('[2]BS By Fund'!J$2:J$30)</f>
        <v>4386183.2799999993</v>
      </c>
      <c r="H20" s="5">
        <f>SUM('[2]BS By Fund'!H$2:H$30)+SUM('[2]BS By Fund'!O$2:O$30)</f>
        <v>109028.40000000224</v>
      </c>
      <c r="I20" s="5">
        <f>SUM('[2]BS By Fund'!I$2:I$30)+SUM('[2]BS By Fund'!P$2:P$30)</f>
        <v>35353497.00000003</v>
      </c>
      <c r="J20" s="5">
        <f>SUM('[2]BS By Fund'!Q$2:Q$30)</f>
        <v>2788734.6400000704</v>
      </c>
      <c r="K20" s="5">
        <f>SUM('[2]BS By Fund'!$E$2:$Q$30)</f>
        <v>151238131.23000064</v>
      </c>
      <c r="L20" s="5">
        <f>SUM(C20:J20)</f>
        <v>151238131.23000064</v>
      </c>
    </row>
    <row r="21" spans="1:12">
      <c r="A21" t="s">
        <v>13</v>
      </c>
      <c r="B21" s="6">
        <v>1840</v>
      </c>
      <c r="C21" s="5">
        <f>'[2]BS By Fund'!L$31+'[2]BS By Fund'!E$31</f>
        <v>0</v>
      </c>
      <c r="D21" s="5">
        <f>'[2]BS By Fund'!M$31+'[2]BS By Fund'!F$31</f>
        <v>0</v>
      </c>
      <c r="E21" s="5">
        <f>'[2]BS By Fund'!N$31+'[2]BS By Fund'!G$31</f>
        <v>0</v>
      </c>
      <c r="F21" s="5">
        <f>'[2]BS By Fund'!K$31+'[2]BS By Fund'!J$31</f>
        <v>0</v>
      </c>
      <c r="H21" s="5">
        <f>'[2]BS By Fund'!H$31+'[2]BS By Fund'!O$31</f>
        <v>0</v>
      </c>
      <c r="I21" s="5">
        <f>'[2]BS By Fund'!I$31+'[2]BS By Fund'!P$31</f>
        <v>0</v>
      </c>
      <c r="J21" s="5">
        <f>'[2]BS By Fund'!Q$31</f>
        <v>0</v>
      </c>
      <c r="K21" s="5">
        <f>SUM('[2]BS By Fund'!$E$31:$Q$31)</f>
        <v>0</v>
      </c>
      <c r="L21" s="5">
        <f>SUM(C21:J21)</f>
        <v>0</v>
      </c>
    </row>
    <row r="22" spans="1:12">
      <c r="A22" t="s">
        <v>15</v>
      </c>
      <c r="B22" s="6">
        <v>2350</v>
      </c>
      <c r="C22" s="5">
        <f>-C13</f>
        <v>-5819443.3000000007</v>
      </c>
      <c r="D22" s="5">
        <f>-D13</f>
        <v>-1368798.4500000002</v>
      </c>
      <c r="E22" s="5">
        <f>-E13</f>
        <v>0</v>
      </c>
      <c r="F22" s="5">
        <f>-F13</f>
        <v>0</v>
      </c>
      <c r="H22" s="5">
        <f>-H13</f>
        <v>0</v>
      </c>
      <c r="I22" s="5">
        <f>-I13</f>
        <v>0</v>
      </c>
      <c r="J22" s="5">
        <f>-J13</f>
        <v>0</v>
      </c>
      <c r="K22" s="5">
        <f>-K13</f>
        <v>-7188241.7500000009</v>
      </c>
      <c r="L22" s="5">
        <f>SUM(C22:J22)</f>
        <v>-7188241.7500000009</v>
      </c>
    </row>
    <row r="23" spans="1:12">
      <c r="C23" s="9">
        <f>SUM(C20:C22)</f>
        <v>11820681.710000932</v>
      </c>
      <c r="D23" s="9">
        <f>SUM(D20:D22)</f>
        <v>36438702.769999728</v>
      </c>
      <c r="E23" s="9">
        <f>SUM(E20:E22)</f>
        <v>53153061.679999873</v>
      </c>
      <c r="F23" s="9">
        <f>SUM(F20:F22)</f>
        <v>4386183.2799999993</v>
      </c>
      <c r="H23" s="9">
        <f>SUM(H20:H22)</f>
        <v>109028.40000000224</v>
      </c>
      <c r="I23" s="9">
        <f>SUM(I20:I22)</f>
        <v>35353497.00000003</v>
      </c>
      <c r="J23" s="9">
        <f>SUM(J20:J22)</f>
        <v>2788734.6400000704</v>
      </c>
      <c r="K23" s="9">
        <f>SUM(K20:K22)</f>
        <v>144049889.48000064</v>
      </c>
      <c r="L23" s="9">
        <f>SUM(L20:L22)</f>
        <v>144049889.48000064</v>
      </c>
    </row>
    <row r="24" spans="1:12">
      <c r="B24" s="13" t="s">
        <v>24</v>
      </c>
      <c r="C24" s="5">
        <f>$J20*0.5</f>
        <v>1394367.3200000352</v>
      </c>
      <c r="D24" s="5">
        <f>$J20*0.25</f>
        <v>697183.66000001761</v>
      </c>
      <c r="E24" s="5">
        <f>$J20*0.25</f>
        <v>697183.66000001761</v>
      </c>
      <c r="F24" s="5">
        <v>0</v>
      </c>
      <c r="H24" s="5">
        <v>0</v>
      </c>
      <c r="I24" s="5">
        <v>0</v>
      </c>
      <c r="J24" s="5">
        <f>-SUM(C24:E24)</f>
        <v>-2788734.6400000704</v>
      </c>
      <c r="K24" s="5">
        <v>0</v>
      </c>
      <c r="L24" s="5">
        <f>SUM(C24:K24)</f>
        <v>0</v>
      </c>
    </row>
    <row r="25" spans="1:12">
      <c r="B25" s="13" t="s">
        <v>25</v>
      </c>
      <c r="C25" s="9">
        <f>C23+C24</f>
        <v>13215049.030000968</v>
      </c>
      <c r="D25" s="9">
        <f>D23+D24</f>
        <v>37135886.429999746</v>
      </c>
      <c r="E25" s="9">
        <f>E23+E24</f>
        <v>53850245.339999892</v>
      </c>
      <c r="F25" s="9">
        <f>F23+F24</f>
        <v>4386183.2799999993</v>
      </c>
      <c r="H25" s="9">
        <f>H23+H24</f>
        <v>109028.40000000224</v>
      </c>
      <c r="I25" s="9">
        <f>I23+I24</f>
        <v>35353497.00000003</v>
      </c>
      <c r="J25" s="9">
        <f>J23+J24</f>
        <v>0</v>
      </c>
      <c r="K25" s="9">
        <f>K23+K24</f>
        <v>144049889.48000064</v>
      </c>
      <c r="L25" s="9">
        <f>L23+L24</f>
        <v>144049889.48000064</v>
      </c>
    </row>
    <row r="26" spans="1:12">
      <c r="B26" s="13" t="s">
        <v>23</v>
      </c>
      <c r="C26" s="12">
        <f>'[2]CAFR BS'!D$14</f>
        <v>13215049</v>
      </c>
      <c r="D26" s="12">
        <f>'[2]CAFR BS'!E$14</f>
        <v>37135887</v>
      </c>
      <c r="E26" s="12">
        <f>'[2]CAFR BS'!F$14</f>
        <v>53850246</v>
      </c>
      <c r="F26" s="12">
        <f>'[2]CAFR BS'!G$14</f>
        <v>4386183</v>
      </c>
      <c r="H26" s="12">
        <f>'[2]CAFR BS'!J$14</f>
        <v>109028</v>
      </c>
      <c r="I26" s="12">
        <f>'[2]CAFR BS'!K$14</f>
        <v>35353497</v>
      </c>
      <c r="J26" s="12">
        <v>0</v>
      </c>
      <c r="K26" s="12">
        <f>'[2]CAFR BS'!$M$14</f>
        <v>144049890</v>
      </c>
      <c r="L26" s="9">
        <f>SUM(C26:J26)</f>
        <v>144049890</v>
      </c>
    </row>
    <row r="28" spans="1:12">
      <c r="B28" s="13" t="s">
        <v>33</v>
      </c>
      <c r="C28" s="12">
        <f>C15+C18+C26</f>
        <v>43865632</v>
      </c>
      <c r="D28" s="12">
        <f t="shared" ref="D28:L28" si="1">D15+D18+D26</f>
        <v>71340083</v>
      </c>
      <c r="E28" s="12">
        <f t="shared" si="1"/>
        <v>85434012</v>
      </c>
      <c r="F28" s="12">
        <f t="shared" si="1"/>
        <v>4386183</v>
      </c>
      <c r="H28" s="12">
        <f t="shared" si="1"/>
        <v>109028</v>
      </c>
      <c r="I28" s="12">
        <f t="shared" si="1"/>
        <v>35353497</v>
      </c>
      <c r="J28" s="12">
        <f t="shared" si="1"/>
        <v>0</v>
      </c>
      <c r="K28" s="12">
        <f t="shared" si="1"/>
        <v>240488435</v>
      </c>
      <c r="L28" s="12">
        <f t="shared" si="1"/>
        <v>240488435</v>
      </c>
    </row>
  </sheetData>
  <printOptions horizontalCentered="1"/>
  <pageMargins left="0.2" right="0.2" top="0.75" bottom="0.75" header="0.3" footer="0.3"/>
  <pageSetup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FY2012</vt:lpstr>
      <vt:lpstr>FY2011</vt:lpstr>
      <vt:lpstr>Sheet2</vt:lpstr>
      <vt:lpstr>Sheet3</vt:lpstr>
    </vt:vector>
  </TitlesOfParts>
  <Company>City of Richmond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Burkefrc</dc:creator>
  <cp:lastModifiedBy>Burkefrc</cp:lastModifiedBy>
  <cp:lastPrinted>2012-09-11T19:15:59Z</cp:lastPrinted>
  <dcterms:created xsi:type="dcterms:W3CDTF">2012-09-11T17:46:34Z</dcterms:created>
  <dcterms:modified xsi:type="dcterms:W3CDTF">2012-09-11T20:40:44Z</dcterms:modified>
</cp:coreProperties>
</file>