
<file path=[Content_Types].xml><?xml version="1.0" encoding="utf-8"?>
<Types xmlns="http://schemas.openxmlformats.org/package/2006/content-types"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charts/chart78.xml" ContentType="application/vnd.openxmlformats-officedocument.drawingml.chart+xml"/>
  <Default Extension="xml" ContentType="application/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charts/chart49.xml" ContentType="application/vnd.openxmlformats-officedocument.drawingml.chart+xml"/>
  <Override PartName="/xl/charts/chart67.xml" ContentType="application/vnd.openxmlformats-officedocument.drawingml.chart+xml"/>
  <Override PartName="/xl/comments4.xml" ContentType="application/vnd.openxmlformats-officedocument.spreadsheetml.comments+xml"/>
  <Override PartName="/xl/worksheets/sheet3.xml" ContentType="application/vnd.openxmlformats-officedocument.spreadsheetml.worksheet+xml"/>
  <Override PartName="/xl/charts/chart27.xml" ContentType="application/vnd.openxmlformats-officedocument.drawingml.chart+xml"/>
  <Override PartName="/xl/charts/chart38.xml" ContentType="application/vnd.openxmlformats-officedocument.drawingml.chart+xml"/>
  <Override PartName="/xl/charts/chart56.xml" ContentType="application/vnd.openxmlformats-officedocument.drawingml.chart+xml"/>
  <Override PartName="/xl/charts/chart74.xml" ContentType="application/vnd.openxmlformats-officedocument.drawingml.chart+xml"/>
  <Override PartName="/xl/charts/chart85.xml" ContentType="application/vnd.openxmlformats-officedocument.drawingml.chart+xml"/>
  <Override PartName="/xl/externalLinks/externalLink1.xml" ContentType="application/vnd.openxmlformats-officedocument.spreadsheetml.externalLink+xml"/>
  <Override PartName="/xl/charts/chart16.xml" ContentType="application/vnd.openxmlformats-officedocument.drawingml.chart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charts/chart63.xml" ContentType="application/vnd.openxmlformats-officedocument.drawingml.chart+xml"/>
  <Override PartName="/xl/charts/chart81.xml" ContentType="application/vnd.openxmlformats-officedocument.drawingml.chart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charts/chart52.xml" ContentType="application/vnd.openxmlformats-officedocument.drawingml.chart+xml"/>
  <Override PartName="/xl/charts/chart70.xml" ContentType="application/vnd.openxmlformats-officedocument.drawingml.chart+xml"/>
  <Override PartName="/xl/worksheets/sheet18.xml" ContentType="application/vnd.openxmlformats-officedocument.spreadsheetml.workshee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ml.chartshapes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59.xml" ContentType="application/vnd.openxmlformats-officedocument.drawingml.chart+xml"/>
  <Override PartName="/xl/charts/chart79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charts/chart1.xml" ContentType="application/vnd.openxmlformats-officedocument.drawingml.chart+xml"/>
  <Override PartName="/xl/charts/chart39.xml" ContentType="application/vnd.openxmlformats-officedocument.drawingml.chart+xml"/>
  <Override PartName="/xl/drawings/drawing3.xml" ContentType="application/vnd.openxmlformats-officedocument.drawing+xml"/>
  <Override PartName="/xl/charts/chart48.xml" ContentType="application/vnd.openxmlformats-officedocument.drawingml.chart+xml"/>
  <Override PartName="/xl/charts/chart57.xml" ContentType="application/vnd.openxmlformats-officedocument.drawingml.chart+xml"/>
  <Override PartName="/xl/charts/chart68.xml" ContentType="application/vnd.openxmlformats-officedocument.drawingml.chart+xml"/>
  <Override PartName="/xl/charts/chart77.xml" ContentType="application/vnd.openxmlformats-officedocument.drawingml.chart+xml"/>
  <Override PartName="/xl/charts/chart86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charts/chart46.xml" ContentType="application/vnd.openxmlformats-officedocument.drawingml.chart+xml"/>
  <Override PartName="/xl/comments3.xml" ContentType="application/vnd.openxmlformats-officedocument.spreadsheetml.comments+xml"/>
  <Override PartName="/xl/charts/chart55.xml" ContentType="application/vnd.openxmlformats-officedocument.drawingml.chart+xml"/>
  <Override PartName="/xl/charts/chart66.xml" ContentType="application/vnd.openxmlformats-officedocument.drawingml.chart+xml"/>
  <Override PartName="/xl/charts/chart75.xml" ContentType="application/vnd.openxmlformats-officedocument.drawingml.chart+xml"/>
  <Override PartName="/xl/charts/chart84.xml" ContentType="application/vnd.openxmlformats-officedocument.drawingml.chart+xml"/>
  <Default Extension="vml" ContentType="application/vnd.openxmlformats-officedocument.vmlDrawing"/>
  <Override PartName="/xl/comments1.xml" ContentType="application/vnd.openxmlformats-officedocument.spreadsheetml.comments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charts/chart64.xml" ContentType="application/vnd.openxmlformats-officedocument.drawingml.chart+xml"/>
  <Override PartName="/xl/charts/chart73.xml" ContentType="application/vnd.openxmlformats-officedocument.drawingml.chart+xml"/>
  <Override PartName="/xl/charts/chart82.xml" ContentType="application/vnd.openxmlformats-officedocument.drawingml.chart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62.xml" ContentType="application/vnd.openxmlformats-officedocument.drawingml.chart+xml"/>
  <Override PartName="/xl/charts/chart71.xml" ContentType="application/vnd.openxmlformats-officedocument.drawingml.chart+xml"/>
  <Override PartName="/xl/charts/chart80.xml" ContentType="application/vnd.openxmlformats-officedocument.drawingml.chart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xl/charts/chart60.xml" ContentType="application/vnd.openxmlformats-officedocument.drawingml.char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ml.chartshapes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69.xml" ContentType="application/vnd.openxmlformats-officedocument.drawingml.chart+xml"/>
  <Default Extension="rels" ContentType="application/vnd.openxmlformats-package.relationships+xml"/>
  <Override PartName="/xl/worksheets/sheet5.xml" ContentType="application/vnd.openxmlformats-officedocument.spreadsheetml.worksheet+xml"/>
  <Override PartName="/xl/charts/chart29.xml" ContentType="application/vnd.openxmlformats-officedocument.drawingml.chart+xml"/>
  <Override PartName="/xl/charts/chart58.xml" ContentType="application/vnd.openxmlformats-officedocument.drawingml.chart+xml"/>
  <Override PartName="/xl/charts/chart76.xml" ContentType="application/vnd.openxmlformats-officedocument.drawingml.chart+xml"/>
  <Override PartName="/xl/charts/chart87.xml" ContentType="application/vnd.openxmlformats-officedocument.drawingml.chart+xml"/>
  <Override PartName="/xl/externalLinks/externalLink3.xml" ContentType="application/vnd.openxmlformats-officedocument.spreadsheetml.externalLink+xml"/>
  <Override PartName="/xl/comments2.xml" ContentType="application/vnd.openxmlformats-officedocument.spreadsheetml.comments+xml"/>
  <Override PartName="/xl/charts/chart18.xml" ContentType="application/vnd.openxmlformats-officedocument.drawingml.chart+xml"/>
  <Override PartName="/xl/charts/chart36.xml" ContentType="application/vnd.openxmlformats-officedocument.drawingml.chart+xml"/>
  <Override PartName="/xl/charts/chart47.xml" ContentType="application/vnd.openxmlformats-officedocument.drawingml.chart+xml"/>
  <Override PartName="/xl/charts/chart65.xml" ContentType="application/vnd.openxmlformats-officedocument.drawingml.chart+xml"/>
  <Override PartName="/xl/charts/chart83.xml" ContentType="application/vnd.openxmlformats-officedocument.drawingml.chart+xml"/>
  <Override PartName="/xl/volatileDependencies.xml" ContentType="application/vnd.openxmlformats-officedocument.spreadsheetml.volatileDependencies+xml"/>
  <Override PartName="/xl/worksheets/sheet1.xml" ContentType="application/vnd.openxmlformats-officedocument.spreadsheetml.worksheet+xml"/>
  <Override PartName="/xl/charts/chart25.xml" ContentType="application/vnd.openxmlformats-officedocument.drawingml.chart+xml"/>
  <Override PartName="/xl/charts/chart54.xml" ContentType="application/vnd.openxmlformats-officedocument.drawingml.chart+xml"/>
  <Override PartName="/xl/charts/chart72.xml" ContentType="application/vnd.openxmlformats-officedocument.drawingml.chart+xml"/>
  <Override PartName="/xl/drawings/drawing11.xml" ContentType="application/vnd.openxmlformats-officedocument.drawing+xml"/>
  <Override PartName="/xl/charts/chart14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61.xml" ContentType="application/vnd.openxmlformats-officedocument.drawingml.chart+xml"/>
  <Override PartName="/xl/charts/chart21.xml" ContentType="application/vnd.openxmlformats-officedocument.drawingml.chart+xml"/>
  <Override PartName="/xl/charts/chart50.xml" ContentType="application/vnd.openxmlformats-officedocument.drawingml.char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-45" yWindow="270" windowWidth="14760" windowHeight="8430" firstSheet="2" activeTab="5"/>
  </bookViews>
  <sheets>
    <sheet name="PGC BREAKOUT" sheetId="40" r:id="rId1"/>
    <sheet name="WORKBOOK NOTES" sheetId="24" r:id="rId2"/>
    <sheet name="HEDGE REPORT" sheetId="37" r:id="rId3"/>
    <sheet name="NON-PGC HEDGE " sheetId="10" r:id="rId4"/>
    <sheet name="YR SUMMARIES" sheetId="23" r:id="rId5"/>
    <sheet name="YR REPORTS" sheetId="12" r:id="rId6"/>
    <sheet name="FIN OPS REV VOL VS YR REPORTS" sheetId="29" r:id="rId7"/>
    <sheet name="PGC GRAPHS" sheetId="22" r:id="rId8"/>
    <sheet name="NONPGC GRAPHS" sheetId="34" r:id="rId9"/>
    <sheet name="TOTAL GRAPHS" sheetId="30" r:id="rId10"/>
    <sheet name="MCFS" sheetId="14" r:id="rId11"/>
    <sheet name="MCFS GRAPHS" sheetId="38" r:id="rId12"/>
    <sheet name="FT GAS" sheetId="16" r:id="rId13"/>
    <sheet name="EIA and NYMEX" sheetId="39" r:id="rId14"/>
    <sheet name="FSS" sheetId="4" r:id="rId15"/>
    <sheet name="GSS-09" sheetId="5" r:id="rId16"/>
    <sheet name="GSS-97" sheetId="6" r:id="rId17"/>
    <sheet name="GSS-62" sheetId="28" r:id="rId18"/>
    <sheet name="GSS-TOT" sheetId="35" r:id="rId19"/>
    <sheet name="STORAGE TOT" sheetId="36" r:id="rId20"/>
    <sheet name="GAS " sheetId="3" r:id="rId21"/>
    <sheet name="TRANSPORT" sheetId="26" r:id="rId22"/>
    <sheet name="DEMAND" sheetId="2" r:id="rId23"/>
  </sheets>
  <externalReferences>
    <externalReference r:id="rId24"/>
    <externalReference r:id="rId25"/>
    <externalReference r:id="rId26"/>
    <externalReference r:id="rId27"/>
    <externalReference r:id="rId28"/>
  </externalReferences>
  <definedNames>
    <definedName name="_Key1" localSheetId="22" hidden="1">#REF!</definedName>
    <definedName name="_Key2" localSheetId="22" hidden="1">#REF!</definedName>
    <definedName name="_Order1" localSheetId="22" hidden="1">255</definedName>
    <definedName name="_Order2" localSheetId="22" hidden="1">255</definedName>
    <definedName name="_Sort" localSheetId="22" hidden="1">#REF!</definedName>
    <definedName name="COMMODITY" localSheetId="22">#REF!</definedName>
    <definedName name="DEGREE_DAYS" localSheetId="22">#REF!</definedName>
    <definedName name="FIRM_REQS" localSheetId="22">#REF!</definedName>
    <definedName name="INTERRUP_REQ" localSheetId="22">#REF!</definedName>
    <definedName name="JUL_ACT_DEMAND" localSheetId="22">#REF!</definedName>
    <definedName name="LNG_WACOG" localSheetId="22">#REF!</definedName>
    <definedName name="_xlnm.Print_Area" localSheetId="22">DEMAND!$A$1:$A$107</definedName>
    <definedName name="_xlnm.Print_Area" localSheetId="20">'GAS '!$A$94:$C$187</definedName>
    <definedName name="_xlnm.Print_Area" localSheetId="2">'HEDGE REPORT'!$A$1:$J$54</definedName>
    <definedName name="_xlnm.Print_Area" localSheetId="10">MCFS!$C$1:$L$9</definedName>
    <definedName name="_xlnm.Print_Area" localSheetId="11">'MCFS GRAPHS'!$R$1:$AA$40</definedName>
    <definedName name="_xlnm.Print_Area" localSheetId="3">'NON-PGC HEDGE '!$A$1:$A$24</definedName>
    <definedName name="_xlnm.Print_Area" localSheetId="7">'PGC GRAPHS'!#REF!</definedName>
    <definedName name="_xlnm.Print_Area" localSheetId="5">'YR REPORTS'!$C$152:$O$173</definedName>
    <definedName name="_xlnm.Print_Area" localSheetId="4">'YR SUMMARIES'!$A$4:$P$25</definedName>
    <definedName name="PrintArea">#REF!</definedName>
    <definedName name="STOR_WACOG" localSheetId="22">#REF!</definedName>
    <definedName name="STORAGE" localSheetId="22">#REF!</definedName>
    <definedName name="STORAGE_DATA" localSheetId="22">#REF!</definedName>
    <definedName name="SUMMARY" localSheetId="22">#REF!</definedName>
    <definedName name="YR_REPORT0203">'YR REPORTS'!#REF!</definedName>
    <definedName name="YR_REPORT0304">'YR REPORTS'!#REF!</definedName>
    <definedName name="YR_REPORT0405">'YR REPORTS'!#REF!</definedName>
    <definedName name="Yr_Summaries">'YR SUMMARIES'!$A$3:$G$25</definedName>
  </definedNames>
  <calcPr calcId="125725" concurrentCalc="0"/>
</workbook>
</file>

<file path=xl/calcChain.xml><?xml version="1.0" encoding="utf-8"?>
<calcChain xmlns="http://schemas.openxmlformats.org/spreadsheetml/2006/main">
  <c r="P91" i="12"/>
  <c r="P183" i="3"/>
  <c r="P182"/>
  <c r="P179"/>
  <c r="P178"/>
  <c r="P175"/>
  <c r="P174"/>
  <c r="P167"/>
  <c r="P166"/>
  <c r="D187"/>
  <c r="E187"/>
  <c r="M187"/>
  <c r="N187"/>
  <c r="O187"/>
  <c r="C187"/>
  <c r="D186"/>
  <c r="E186"/>
  <c r="F186"/>
  <c r="G186"/>
  <c r="H186"/>
  <c r="I186"/>
  <c r="J186"/>
  <c r="K186"/>
  <c r="L186"/>
  <c r="M186"/>
  <c r="N186"/>
  <c r="O186"/>
  <c r="C186"/>
  <c r="O182"/>
  <c r="D182"/>
  <c r="E182"/>
  <c r="F182"/>
  <c r="G182"/>
  <c r="H182"/>
  <c r="I182"/>
  <c r="J182"/>
  <c r="K182"/>
  <c r="L182"/>
  <c r="M182"/>
  <c r="N182"/>
  <c r="C182"/>
  <c r="C185"/>
  <c r="D185"/>
  <c r="E185"/>
  <c r="F185"/>
  <c r="G185"/>
  <c r="H185"/>
  <c r="I185"/>
  <c r="J185"/>
  <c r="K185"/>
  <c r="L185"/>
  <c r="M185"/>
  <c r="N185"/>
  <c r="O185"/>
  <c r="O183"/>
  <c r="D183"/>
  <c r="E183"/>
  <c r="F183"/>
  <c r="G183"/>
  <c r="H183"/>
  <c r="I183"/>
  <c r="J183"/>
  <c r="K183"/>
  <c r="L183"/>
  <c r="M183"/>
  <c r="N183"/>
  <c r="C183"/>
  <c r="O174"/>
  <c r="O175"/>
  <c r="D174"/>
  <c r="E174"/>
  <c r="F174"/>
  <c r="G174"/>
  <c r="H174"/>
  <c r="I174"/>
  <c r="J174"/>
  <c r="K174"/>
  <c r="L174"/>
  <c r="M174"/>
  <c r="N174"/>
  <c r="D175"/>
  <c r="E175"/>
  <c r="F175"/>
  <c r="G175"/>
  <c r="H175"/>
  <c r="I175"/>
  <c r="J175"/>
  <c r="K175"/>
  <c r="L175"/>
  <c r="M175"/>
  <c r="N175"/>
  <c r="C175"/>
  <c r="C174"/>
  <c r="O179"/>
  <c r="O178"/>
  <c r="O173"/>
  <c r="O172"/>
  <c r="O171"/>
  <c r="O170"/>
  <c r="O167"/>
  <c r="O166"/>
  <c r="D166"/>
  <c r="E166"/>
  <c r="F166"/>
  <c r="G166"/>
  <c r="H166"/>
  <c r="I166"/>
  <c r="J166"/>
  <c r="K166"/>
  <c r="L166"/>
  <c r="M166"/>
  <c r="N166"/>
  <c r="D167"/>
  <c r="E167"/>
  <c r="F167"/>
  <c r="G167"/>
  <c r="H167"/>
  <c r="I167"/>
  <c r="J167"/>
  <c r="K167"/>
  <c r="L167"/>
  <c r="M167"/>
  <c r="N167"/>
  <c r="C167"/>
  <c r="C166"/>
  <c r="O165"/>
  <c r="O164"/>
  <c r="D164"/>
  <c r="E164"/>
  <c r="F164"/>
  <c r="G164"/>
  <c r="H164"/>
  <c r="I164"/>
  <c r="J164"/>
  <c r="K164"/>
  <c r="L164"/>
  <c r="M164"/>
  <c r="N164"/>
  <c r="D165"/>
  <c r="E165"/>
  <c r="F165"/>
  <c r="G165"/>
  <c r="H165"/>
  <c r="I165"/>
  <c r="J165"/>
  <c r="K165"/>
  <c r="L165"/>
  <c r="M165"/>
  <c r="N165"/>
  <c r="C165"/>
  <c r="C164"/>
  <c r="O163"/>
  <c r="O162"/>
  <c r="D162"/>
  <c r="E162"/>
  <c r="F162"/>
  <c r="G162"/>
  <c r="H162"/>
  <c r="I162"/>
  <c r="J162"/>
  <c r="K162"/>
  <c r="L162"/>
  <c r="M162"/>
  <c r="N162"/>
  <c r="D163"/>
  <c r="E163"/>
  <c r="F163"/>
  <c r="G163"/>
  <c r="H163"/>
  <c r="I163"/>
  <c r="J163"/>
  <c r="K163"/>
  <c r="L163"/>
  <c r="M163"/>
  <c r="N163"/>
  <c r="C163"/>
  <c r="C162"/>
  <c r="N153" i="38"/>
  <c r="N152"/>
  <c r="N93"/>
  <c r="N92"/>
  <c r="N63"/>
  <c r="N62"/>
  <c r="N4"/>
  <c r="N3"/>
  <c r="M241"/>
  <c r="M211"/>
  <c r="M181"/>
  <c r="M182"/>
  <c r="M151"/>
  <c r="M152"/>
  <c r="M153"/>
  <c r="M121"/>
  <c r="M91"/>
  <c r="M92"/>
  <c r="M93"/>
  <c r="M61"/>
  <c r="M62"/>
  <c r="M63"/>
  <c r="M31"/>
  <c r="M32"/>
  <c r="M2"/>
  <c r="M3"/>
  <c r="M4"/>
  <c r="P16" i="12"/>
  <c r="O11"/>
  <c r="N17" i="29"/>
  <c r="D12" i="12"/>
  <c r="D11"/>
  <c r="D10"/>
  <c r="D79"/>
  <c r="B2" i="29"/>
  <c r="E12" i="12"/>
  <c r="E11"/>
  <c r="E10"/>
  <c r="E79"/>
  <c r="C2" i="29"/>
  <c r="F12" i="12"/>
  <c r="F11"/>
  <c r="F10"/>
  <c r="F79"/>
  <c r="D2" i="29"/>
  <c r="G12" i="12"/>
  <c r="G11"/>
  <c r="G10"/>
  <c r="G79"/>
  <c r="E2" i="29"/>
  <c r="H12" i="12"/>
  <c r="H11"/>
  <c r="H10"/>
  <c r="H79"/>
  <c r="F2" i="29"/>
  <c r="I12" i="12"/>
  <c r="I11"/>
  <c r="I10"/>
  <c r="I79"/>
  <c r="G2" i="29"/>
  <c r="J12" i="12"/>
  <c r="J11"/>
  <c r="J10"/>
  <c r="J79"/>
  <c r="H2" i="29"/>
  <c r="K12" i="12"/>
  <c r="K11"/>
  <c r="K10"/>
  <c r="K79"/>
  <c r="I2" i="29"/>
  <c r="L12" i="12"/>
  <c r="L11"/>
  <c r="L10"/>
  <c r="L79"/>
  <c r="J2" i="29"/>
  <c r="M12" i="12"/>
  <c r="M11"/>
  <c r="M10"/>
  <c r="M79"/>
  <c r="K2" i="29"/>
  <c r="N12" i="12"/>
  <c r="N11"/>
  <c r="N10"/>
  <c r="N79"/>
  <c r="L2" i="29"/>
  <c r="D84" i="12"/>
  <c r="B9" i="29"/>
  <c r="E84" i="12"/>
  <c r="C9" i="29"/>
  <c r="F84" i="12"/>
  <c r="D9" i="29"/>
  <c r="G84" i="12"/>
  <c r="E9" i="29"/>
  <c r="H84" i="12"/>
  <c r="F9" i="29"/>
  <c r="I84" i="12"/>
  <c r="G9" i="29"/>
  <c r="J84" i="12"/>
  <c r="H9" i="29"/>
  <c r="K84" i="12"/>
  <c r="I9" i="29"/>
  <c r="L84" i="12"/>
  <c r="J9" i="29"/>
  <c r="M84" i="12"/>
  <c r="K9" i="29"/>
  <c r="N84" i="12"/>
  <c r="L9" i="29"/>
  <c r="O84" i="12"/>
  <c r="M9" i="29"/>
  <c r="E64" i="12"/>
  <c r="E65"/>
  <c r="E66"/>
  <c r="E70"/>
  <c r="E13"/>
  <c r="E67"/>
  <c r="E69"/>
  <c r="E68"/>
  <c r="F64"/>
  <c r="F65"/>
  <c r="F66"/>
  <c r="F70"/>
  <c r="F13"/>
  <c r="F67"/>
  <c r="F68"/>
  <c r="F69"/>
  <c r="G64"/>
  <c r="G65"/>
  <c r="G66"/>
  <c r="G13"/>
  <c r="G67"/>
  <c r="G69"/>
  <c r="G68"/>
  <c r="H64"/>
  <c r="H66"/>
  <c r="H70"/>
  <c r="H13"/>
  <c r="H67"/>
  <c r="H69"/>
  <c r="H68"/>
  <c r="I64"/>
  <c r="I66"/>
  <c r="I13"/>
  <c r="I67"/>
  <c r="I69"/>
  <c r="I68"/>
  <c r="J64"/>
  <c r="J66"/>
  <c r="J70"/>
  <c r="J13"/>
  <c r="J67"/>
  <c r="J69"/>
  <c r="J68"/>
  <c r="K64"/>
  <c r="K66"/>
  <c r="K13"/>
  <c r="K67"/>
  <c r="K69"/>
  <c r="K68"/>
  <c r="L64"/>
  <c r="L66"/>
  <c r="L70"/>
  <c r="L13"/>
  <c r="L67"/>
  <c r="L69"/>
  <c r="L68"/>
  <c r="M66"/>
  <c r="M70"/>
  <c r="M13"/>
  <c r="M67"/>
  <c r="M68"/>
  <c r="M69"/>
  <c r="N66"/>
  <c r="N13"/>
  <c r="N67"/>
  <c r="N69"/>
  <c r="N70"/>
  <c r="N68"/>
  <c r="O66"/>
  <c r="O68"/>
  <c r="D64"/>
  <c r="D65"/>
  <c r="D66"/>
  <c r="D70"/>
  <c r="D13"/>
  <c r="D67"/>
  <c r="D68"/>
  <c r="D69"/>
  <c r="M18" i="29"/>
  <c r="M6"/>
  <c r="O114" i="14"/>
  <c r="O115"/>
  <c r="O116"/>
  <c r="O117"/>
  <c r="O118"/>
  <c r="O119"/>
  <c r="O120"/>
  <c r="O121"/>
  <c r="O122"/>
  <c r="O123"/>
  <c r="O124"/>
  <c r="O125"/>
  <c r="O130"/>
  <c r="O131"/>
  <c r="O132"/>
  <c r="O133"/>
  <c r="O134"/>
  <c r="O135"/>
  <c r="O136"/>
  <c r="O137"/>
  <c r="O138"/>
  <c r="O139"/>
  <c r="O140"/>
  <c r="O141"/>
  <c r="O142"/>
  <c r="O143"/>
  <c r="O144"/>
  <c r="O145"/>
  <c r="O154"/>
  <c r="O155"/>
  <c r="O156"/>
  <c r="O157"/>
  <c r="O158"/>
  <c r="O159"/>
  <c r="O160"/>
  <c r="O161"/>
  <c r="O170"/>
  <c r="O171"/>
  <c r="O172"/>
  <c r="O173"/>
  <c r="O100"/>
  <c r="O101"/>
  <c r="M183" i="38"/>
  <c r="O102" i="14"/>
  <c r="O103"/>
  <c r="M212" i="38"/>
  <c r="O105" i="14"/>
  <c r="M213" i="38"/>
  <c r="O94" i="14"/>
  <c r="O95"/>
  <c r="O96"/>
  <c r="O86"/>
  <c r="O87"/>
  <c r="O88"/>
  <c r="O89"/>
  <c r="M122" i="38"/>
  <c r="O82" i="14"/>
  <c r="O83"/>
  <c r="O84"/>
  <c r="O78"/>
  <c r="O79"/>
  <c r="M33" i="38"/>
  <c r="O74" i="14"/>
  <c r="O75"/>
  <c r="O76"/>
  <c r="N23" i="6"/>
  <c r="M22" i="28"/>
  <c r="M22" i="35"/>
  <c r="M20" i="36"/>
  <c r="N22" i="28"/>
  <c r="N22" i="35"/>
  <c r="N20" i="36"/>
  <c r="M23" i="28"/>
  <c r="M23" i="35"/>
  <c r="M21" i="36"/>
  <c r="M22"/>
  <c r="N23" i="28"/>
  <c r="N23" i="35"/>
  <c r="N21" i="36"/>
  <c r="B18" i="35"/>
  <c r="C6"/>
  <c r="C18"/>
  <c r="D18"/>
  <c r="E18"/>
  <c r="F18"/>
  <c r="G18"/>
  <c r="H18"/>
  <c r="I18"/>
  <c r="J18"/>
  <c r="K18"/>
  <c r="L18"/>
  <c r="M18"/>
  <c r="D6"/>
  <c r="E6"/>
  <c r="F6"/>
  <c r="G6"/>
  <c r="G11"/>
  <c r="H6"/>
  <c r="H11"/>
  <c r="I6"/>
  <c r="I11"/>
  <c r="J6"/>
  <c r="J11"/>
  <c r="K6"/>
  <c r="K11"/>
  <c r="L6"/>
  <c r="L11"/>
  <c r="M6"/>
  <c r="N6"/>
  <c r="C9" i="4"/>
  <c r="C10"/>
  <c r="C22"/>
  <c r="D9"/>
  <c r="D10"/>
  <c r="E9"/>
  <c r="E10"/>
  <c r="F9"/>
  <c r="F10"/>
  <c r="G9"/>
  <c r="G10"/>
  <c r="H9"/>
  <c r="H10"/>
  <c r="I9"/>
  <c r="I10"/>
  <c r="J9"/>
  <c r="J10"/>
  <c r="K9"/>
  <c r="K10"/>
  <c r="L9"/>
  <c r="L10"/>
  <c r="M9"/>
  <c r="M10"/>
  <c r="B19" i="35"/>
  <c r="C7" i="5"/>
  <c r="C8"/>
  <c r="C19"/>
  <c r="D7"/>
  <c r="D8"/>
  <c r="D7" i="6"/>
  <c r="D8"/>
  <c r="D7" i="28"/>
  <c r="D8"/>
  <c r="E7" i="5"/>
  <c r="E8"/>
  <c r="E7" i="6"/>
  <c r="E8"/>
  <c r="E7" i="28"/>
  <c r="E8"/>
  <c r="E8" i="35"/>
  <c r="E7"/>
  <c r="F7" i="5"/>
  <c r="F8"/>
  <c r="F7" i="6"/>
  <c r="F8"/>
  <c r="F7" i="28"/>
  <c r="F8"/>
  <c r="G7" i="5"/>
  <c r="G8"/>
  <c r="G7" i="28"/>
  <c r="G8"/>
  <c r="H7" i="5"/>
  <c r="H8"/>
  <c r="I7"/>
  <c r="I8"/>
  <c r="J7"/>
  <c r="J8"/>
  <c r="L7"/>
  <c r="L8"/>
  <c r="K7"/>
  <c r="K8"/>
  <c r="K7" i="6"/>
  <c r="K8"/>
  <c r="K7" i="28"/>
  <c r="K8"/>
  <c r="M7" i="5"/>
  <c r="M8"/>
  <c r="M7" i="28"/>
  <c r="M8"/>
  <c r="N9" i="4"/>
  <c r="N10"/>
  <c r="N7" i="5"/>
  <c r="N8"/>
  <c r="N30" i="35"/>
  <c r="N24"/>
  <c r="N24" i="6"/>
  <c r="N24" i="28"/>
  <c r="N31"/>
  <c r="N26"/>
  <c r="N18" i="6"/>
  <c r="N31"/>
  <c r="N26"/>
  <c r="N22"/>
  <c r="N31" i="5"/>
  <c r="N26"/>
  <c r="N29" i="4"/>
  <c r="M27"/>
  <c r="N27"/>
  <c r="N13"/>
  <c r="O22" i="12"/>
  <c r="O21"/>
  <c r="M31" i="10"/>
  <c r="M32"/>
  <c r="M33"/>
  <c r="M27"/>
  <c r="M34"/>
  <c r="M36"/>
  <c r="M37"/>
  <c r="M38"/>
  <c r="L36"/>
  <c r="L37"/>
  <c r="L38"/>
  <c r="K36"/>
  <c r="K37"/>
  <c r="K38"/>
  <c r="J36"/>
  <c r="J37"/>
  <c r="J38"/>
  <c r="I36"/>
  <c r="I37"/>
  <c r="I38"/>
  <c r="H36"/>
  <c r="H37"/>
  <c r="H38"/>
  <c r="G36"/>
  <c r="G37"/>
  <c r="G38"/>
  <c r="F36"/>
  <c r="F37"/>
  <c r="F38"/>
  <c r="E36"/>
  <c r="E37"/>
  <c r="E38"/>
  <c r="D36"/>
  <c r="D37"/>
  <c r="D38"/>
  <c r="C36"/>
  <c r="C37"/>
  <c r="C38"/>
  <c r="B36"/>
  <c r="B37"/>
  <c r="B38"/>
  <c r="M28"/>
  <c r="N31"/>
  <c r="N32"/>
  <c r="N33"/>
  <c r="N34"/>
  <c r="N30"/>
  <c r="M19"/>
  <c r="M18"/>
  <c r="M9"/>
  <c r="L9"/>
  <c r="M8"/>
  <c r="L8"/>
  <c r="L19"/>
  <c r="L18"/>
  <c r="L27"/>
  <c r="L34"/>
  <c r="L33"/>
  <c r="L32"/>
  <c r="L31"/>
  <c r="L28"/>
  <c r="L3"/>
  <c r="L5"/>
  <c r="L6"/>
  <c r="L4"/>
  <c r="C133" i="3"/>
  <c r="C134"/>
  <c r="C135"/>
  <c r="C139"/>
  <c r="D133"/>
  <c r="D134"/>
  <c r="D135"/>
  <c r="D139"/>
  <c r="D140"/>
  <c r="E133"/>
  <c r="E134"/>
  <c r="E135"/>
  <c r="E139"/>
  <c r="E140"/>
  <c r="F133"/>
  <c r="F134"/>
  <c r="G133"/>
  <c r="G134"/>
  <c r="G135"/>
  <c r="G139"/>
  <c r="G140"/>
  <c r="H133"/>
  <c r="H134"/>
  <c r="H135"/>
  <c r="H139"/>
  <c r="H140"/>
  <c r="I133"/>
  <c r="I134"/>
  <c r="I135"/>
  <c r="I139"/>
  <c r="I140"/>
  <c r="J134"/>
  <c r="J135"/>
  <c r="K134"/>
  <c r="K135"/>
  <c r="K139"/>
  <c r="K140"/>
  <c r="L133"/>
  <c r="L134"/>
  <c r="L135"/>
  <c r="L139"/>
  <c r="L140"/>
  <c r="M133"/>
  <c r="M134"/>
  <c r="M135"/>
  <c r="M139"/>
  <c r="M140"/>
  <c r="N133"/>
  <c r="N134"/>
  <c r="N135"/>
  <c r="N139"/>
  <c r="N140"/>
  <c r="O12" i="26"/>
  <c r="O4"/>
  <c r="O53"/>
  <c r="O59"/>
  <c r="O63"/>
  <c r="O24"/>
  <c r="O67"/>
  <c r="O52"/>
  <c r="O62"/>
  <c r="O23"/>
  <c r="O66"/>
  <c r="O68"/>
  <c r="O64"/>
  <c r="O54"/>
  <c r="O25"/>
  <c r="O21"/>
  <c r="O46"/>
  <c r="O38"/>
  <c r="O34"/>
  <c r="O30"/>
  <c r="N5" i="36"/>
  <c r="N141" i="3"/>
  <c r="N144"/>
  <c r="N142"/>
  <c r="N145"/>
  <c r="M7" i="2"/>
  <c r="M11"/>
  <c r="M24"/>
  <c r="M26"/>
  <c r="M30"/>
  <c r="M34"/>
  <c r="M36"/>
  <c r="M46"/>
  <c r="M48"/>
  <c r="M58"/>
  <c r="M62"/>
  <c r="M74"/>
  <c r="M78"/>
  <c r="M90"/>
  <c r="M66"/>
  <c r="M82"/>
  <c r="M86"/>
  <c r="M92"/>
  <c r="M94"/>
  <c r="M99"/>
  <c r="M103"/>
  <c r="M105"/>
  <c r="M107"/>
  <c r="N138" i="3"/>
  <c r="N128"/>
  <c r="N129"/>
  <c r="N130"/>
  <c r="N131"/>
  <c r="N124"/>
  <c r="N125"/>
  <c r="N126"/>
  <c r="N127"/>
  <c r="N119"/>
  <c r="N120"/>
  <c r="N121"/>
  <c r="N122"/>
  <c r="N95"/>
  <c r="N99"/>
  <c r="N107"/>
  <c r="N113"/>
  <c r="N116"/>
  <c r="N94"/>
  <c r="N98"/>
  <c r="N102"/>
  <c r="N112"/>
  <c r="N115"/>
  <c r="N117"/>
  <c r="N114"/>
  <c r="N109"/>
  <c r="N108"/>
  <c r="N105"/>
  <c r="N103"/>
  <c r="N101"/>
  <c r="N100"/>
  <c r="N97"/>
  <c r="N96"/>
  <c r="N86"/>
  <c r="N89"/>
  <c r="N85"/>
  <c r="N88"/>
  <c r="N90"/>
  <c r="N91"/>
  <c r="N92"/>
  <c r="N87"/>
  <c r="N75"/>
  <c r="N72"/>
  <c r="N69"/>
  <c r="L60"/>
  <c r="M60"/>
  <c r="N60"/>
  <c r="N58"/>
  <c r="N57"/>
  <c r="N59"/>
  <c r="O40"/>
  <c r="O41"/>
  <c r="O39"/>
  <c r="K95"/>
  <c r="K96"/>
  <c r="K110"/>
  <c r="K84"/>
  <c r="K75"/>
  <c r="K73"/>
  <c r="J75"/>
  <c r="J73"/>
  <c r="I75"/>
  <c r="I73"/>
  <c r="H73"/>
  <c r="H75"/>
  <c r="K58"/>
  <c r="K41"/>
  <c r="K40"/>
  <c r="E41"/>
  <c r="D41"/>
  <c r="C41"/>
  <c r="M41"/>
  <c r="N41"/>
  <c r="N38"/>
  <c r="N36"/>
  <c r="N37"/>
  <c r="N31"/>
  <c r="N32"/>
  <c r="N30"/>
  <c r="N24"/>
  <c r="N23"/>
  <c r="N21"/>
  <c r="N20"/>
  <c r="N22"/>
  <c r="N19"/>
  <c r="N16"/>
  <c r="N3"/>
  <c r="L13" i="10"/>
  <c r="L17"/>
  <c r="L14"/>
  <c r="L15"/>
  <c r="K15"/>
  <c r="L12"/>
  <c r="L20"/>
  <c r="L16"/>
  <c r="L11"/>
  <c r="L10"/>
  <c r="L7"/>
  <c r="N43" i="12"/>
  <c r="N40"/>
  <c r="N44"/>
  <c r="O37"/>
  <c r="D22"/>
  <c r="D37"/>
  <c r="E22"/>
  <c r="E37"/>
  <c r="F22"/>
  <c r="F37"/>
  <c r="G22"/>
  <c r="G37"/>
  <c r="H22"/>
  <c r="H37"/>
  <c r="I22"/>
  <c r="I37"/>
  <c r="J22"/>
  <c r="J37"/>
  <c r="P37"/>
  <c r="K22"/>
  <c r="K37"/>
  <c r="L22"/>
  <c r="L37"/>
  <c r="M22"/>
  <c r="M37"/>
  <c r="N22"/>
  <c r="N37"/>
  <c r="D40"/>
  <c r="E40"/>
  <c r="F40"/>
  <c r="G40"/>
  <c r="H40"/>
  <c r="I40"/>
  <c r="J40"/>
  <c r="P40"/>
  <c r="K40"/>
  <c r="L40"/>
  <c r="M40"/>
  <c r="O40"/>
  <c r="D43"/>
  <c r="D44"/>
  <c r="E43"/>
  <c r="E44"/>
  <c r="F43"/>
  <c r="F44"/>
  <c r="G43"/>
  <c r="G44"/>
  <c r="H43"/>
  <c r="H44"/>
  <c r="I43"/>
  <c r="I44"/>
  <c r="J43"/>
  <c r="J44"/>
  <c r="K43"/>
  <c r="K44"/>
  <c r="L43"/>
  <c r="L44"/>
  <c r="M43"/>
  <c r="M44"/>
  <c r="Y46" i="16"/>
  <c r="Y45"/>
  <c r="Y54"/>
  <c r="Y53"/>
  <c r="Y105"/>
  <c r="Y7"/>
  <c r="Y32"/>
  <c r="Y33"/>
  <c r="Y34"/>
  <c r="Y39"/>
  <c r="Y107"/>
  <c r="Y115"/>
  <c r="Y116"/>
  <c r="Y117"/>
  <c r="P9" i="4"/>
  <c r="P10"/>
  <c r="M58" i="3"/>
  <c r="M89"/>
  <c r="M90"/>
  <c r="K86"/>
  <c r="K89"/>
  <c r="K57"/>
  <c r="K85"/>
  <c r="K88"/>
  <c r="K90"/>
  <c r="C58"/>
  <c r="C89"/>
  <c r="C90"/>
  <c r="D58"/>
  <c r="D89"/>
  <c r="D90"/>
  <c r="E58"/>
  <c r="E89"/>
  <c r="E90"/>
  <c r="H86"/>
  <c r="H89"/>
  <c r="H85"/>
  <c r="H88"/>
  <c r="H90"/>
  <c r="I85"/>
  <c r="I88"/>
  <c r="I86"/>
  <c r="I89"/>
  <c r="I90"/>
  <c r="J85"/>
  <c r="J88"/>
  <c r="J86"/>
  <c r="J89"/>
  <c r="J90"/>
  <c r="R32" i="16"/>
  <c r="R33"/>
  <c r="R34"/>
  <c r="R7"/>
  <c r="R39"/>
  <c r="R107"/>
  <c r="R115"/>
  <c r="R116"/>
  <c r="R117"/>
  <c r="X7"/>
  <c r="X32"/>
  <c r="X33"/>
  <c r="X34"/>
  <c r="X39"/>
  <c r="X107"/>
  <c r="X115"/>
  <c r="X116"/>
  <c r="X117"/>
  <c r="O9" i="4"/>
  <c r="O10"/>
  <c r="Z46" i="16"/>
  <c r="Z45"/>
  <c r="Z54"/>
  <c r="Z53"/>
  <c r="Z105"/>
  <c r="Z7"/>
  <c r="Z32"/>
  <c r="Z33"/>
  <c r="Z34"/>
  <c r="Z39"/>
  <c r="Z107"/>
  <c r="Z115"/>
  <c r="Z116"/>
  <c r="Z117"/>
  <c r="Q9" i="4"/>
  <c r="Q10"/>
  <c r="AA46" i="16"/>
  <c r="AA45"/>
  <c r="AA54"/>
  <c r="AA53"/>
  <c r="AA105"/>
  <c r="AA7"/>
  <c r="AA32"/>
  <c r="AA33"/>
  <c r="AA34"/>
  <c r="AA39"/>
  <c r="AA107"/>
  <c r="AA115"/>
  <c r="AA116"/>
  <c r="AA117"/>
  <c r="R9" i="4"/>
  <c r="R10"/>
  <c r="O7" i="5"/>
  <c r="O8"/>
  <c r="O8" i="35"/>
  <c r="O7" i="6"/>
  <c r="O8"/>
  <c r="O7" i="28"/>
  <c r="O8"/>
  <c r="P7" i="5"/>
  <c r="P8"/>
  <c r="P7" i="6"/>
  <c r="P8"/>
  <c r="P7" i="28"/>
  <c r="P8"/>
  <c r="Q7" i="5"/>
  <c r="Q8"/>
  <c r="Q8" i="35"/>
  <c r="Q7" i="6"/>
  <c r="Q8"/>
  <c r="Q7" i="28"/>
  <c r="Q8"/>
  <c r="R7" i="5"/>
  <c r="R8"/>
  <c r="R7" i="6"/>
  <c r="R8"/>
  <c r="R7" i="28"/>
  <c r="R8"/>
  <c r="L241" i="38"/>
  <c r="L242"/>
  <c r="L243"/>
  <c r="L211"/>
  <c r="L212"/>
  <c r="L213"/>
  <c r="L181"/>
  <c r="L182"/>
  <c r="L183"/>
  <c r="L151"/>
  <c r="L152"/>
  <c r="L153"/>
  <c r="L121"/>
  <c r="L122"/>
  <c r="L123"/>
  <c r="L91"/>
  <c r="L92"/>
  <c r="L93"/>
  <c r="L61"/>
  <c r="L62"/>
  <c r="L63"/>
  <c r="L31"/>
  <c r="L32"/>
  <c r="L33"/>
  <c r="L2"/>
  <c r="L3"/>
  <c r="L4"/>
  <c r="P60" i="12"/>
  <c r="D21"/>
  <c r="B27" i="10"/>
  <c r="E21" i="12"/>
  <c r="C27" i="10"/>
  <c r="F21" i="12"/>
  <c r="D27" i="10"/>
  <c r="G21" i="12"/>
  <c r="E27" i="10"/>
  <c r="H21" i="12"/>
  <c r="I21"/>
  <c r="J21"/>
  <c r="K21"/>
  <c r="L21"/>
  <c r="M21"/>
  <c r="N21"/>
  <c r="L18" i="29"/>
  <c r="L6"/>
  <c r="N190" i="14"/>
  <c r="N192"/>
  <c r="N193"/>
  <c r="N191"/>
  <c r="N186"/>
  <c r="N188"/>
  <c r="N189"/>
  <c r="N187"/>
  <c r="N182"/>
  <c r="N184"/>
  <c r="N185"/>
  <c r="N183"/>
  <c r="N178"/>
  <c r="N180"/>
  <c r="N181"/>
  <c r="N179"/>
  <c r="N174"/>
  <c r="N176"/>
  <c r="N177"/>
  <c r="N175"/>
  <c r="N170"/>
  <c r="N172"/>
  <c r="N173"/>
  <c r="N171"/>
  <c r="N158"/>
  <c r="N160"/>
  <c r="N161"/>
  <c r="N159"/>
  <c r="N154"/>
  <c r="N156"/>
  <c r="N157"/>
  <c r="N155"/>
  <c r="N150"/>
  <c r="N152"/>
  <c r="N153"/>
  <c r="N151"/>
  <c r="N146"/>
  <c r="N148"/>
  <c r="N149"/>
  <c r="N147"/>
  <c r="N142"/>
  <c r="N144"/>
  <c r="N145"/>
  <c r="N143"/>
  <c r="N138"/>
  <c r="N140"/>
  <c r="N141"/>
  <c r="N139"/>
  <c r="N134"/>
  <c r="N136"/>
  <c r="N137"/>
  <c r="N135"/>
  <c r="N130"/>
  <c r="N132"/>
  <c r="N133"/>
  <c r="N131"/>
  <c r="N126"/>
  <c r="N128"/>
  <c r="N129"/>
  <c r="N127"/>
  <c r="N122"/>
  <c r="N124"/>
  <c r="N125"/>
  <c r="N123"/>
  <c r="N118"/>
  <c r="N120"/>
  <c r="N121"/>
  <c r="N119"/>
  <c r="N114"/>
  <c r="N116"/>
  <c r="N117"/>
  <c r="N115"/>
  <c r="N102"/>
  <c r="N103"/>
  <c r="N104"/>
  <c r="N105"/>
  <c r="N106"/>
  <c r="N107"/>
  <c r="N108"/>
  <c r="N109"/>
  <c r="N110"/>
  <c r="N101"/>
  <c r="N100"/>
  <c r="N96"/>
  <c r="N95"/>
  <c r="N94"/>
  <c r="N88"/>
  <c r="N89"/>
  <c r="N90"/>
  <c r="N91"/>
  <c r="N92"/>
  <c r="N87"/>
  <c r="N86"/>
  <c r="N84"/>
  <c r="N83"/>
  <c r="N82"/>
  <c r="N80"/>
  <c r="N79"/>
  <c r="N78"/>
  <c r="N76"/>
  <c r="N75"/>
  <c r="N74"/>
  <c r="M24" i="35"/>
  <c r="M30"/>
  <c r="M31" i="28"/>
  <c r="M26"/>
  <c r="M24"/>
  <c r="M26" i="6"/>
  <c r="M24"/>
  <c r="M23"/>
  <c r="M22"/>
  <c r="M31"/>
  <c r="M18" i="5"/>
  <c r="M31"/>
  <c r="M26"/>
  <c r="M88" i="3"/>
  <c r="M91"/>
  <c r="M92"/>
  <c r="M83"/>
  <c r="N53" i="26"/>
  <c r="N52"/>
  <c r="N54"/>
  <c r="N63"/>
  <c r="N24"/>
  <c r="N67"/>
  <c r="N62"/>
  <c r="N23"/>
  <c r="N66"/>
  <c r="N68"/>
  <c r="N64"/>
  <c r="N59"/>
  <c r="N46"/>
  <c r="M46"/>
  <c r="N38"/>
  <c r="M38"/>
  <c r="N34"/>
  <c r="N30"/>
  <c r="N25"/>
  <c r="N21"/>
  <c r="N12"/>
  <c r="M94" i="3"/>
  <c r="M112"/>
  <c r="M124"/>
  <c r="M125"/>
  <c r="M85"/>
  <c r="M126"/>
  <c r="M127"/>
  <c r="M128"/>
  <c r="M129"/>
  <c r="M130"/>
  <c r="M131"/>
  <c r="L7" i="2"/>
  <c r="L11"/>
  <c r="L24"/>
  <c r="L26"/>
  <c r="L30"/>
  <c r="L34"/>
  <c r="L36"/>
  <c r="L46"/>
  <c r="L48"/>
  <c r="L58"/>
  <c r="L62"/>
  <c r="L74"/>
  <c r="L78"/>
  <c r="L90"/>
  <c r="L66"/>
  <c r="L82"/>
  <c r="L86"/>
  <c r="L92"/>
  <c r="L94"/>
  <c r="L99"/>
  <c r="L103"/>
  <c r="L105"/>
  <c r="L107"/>
  <c r="M95" i="3"/>
  <c r="M113"/>
  <c r="M138"/>
  <c r="M5" i="36"/>
  <c r="M141" i="3"/>
  <c r="M144"/>
  <c r="M142"/>
  <c r="M145"/>
  <c r="M119"/>
  <c r="M120"/>
  <c r="M121"/>
  <c r="M122"/>
  <c r="M114"/>
  <c r="M115"/>
  <c r="M116"/>
  <c r="M117"/>
  <c r="M105"/>
  <c r="M103"/>
  <c r="M96"/>
  <c r="M98"/>
  <c r="M97"/>
  <c r="M99"/>
  <c r="M100"/>
  <c r="M101"/>
  <c r="M109"/>
  <c r="M108"/>
  <c r="M107"/>
  <c r="L107"/>
  <c r="M102"/>
  <c r="M86"/>
  <c r="M87"/>
  <c r="M77"/>
  <c r="M75"/>
  <c r="M73"/>
  <c r="M72"/>
  <c r="M69"/>
  <c r="M57"/>
  <c r="M59"/>
  <c r="M38"/>
  <c r="M36"/>
  <c r="M32"/>
  <c r="L32"/>
  <c r="M30"/>
  <c r="M37"/>
  <c r="M31"/>
  <c r="K28"/>
  <c r="L28"/>
  <c r="M28"/>
  <c r="M20"/>
  <c r="M21"/>
  <c r="M22"/>
  <c r="M23"/>
  <c r="M24"/>
  <c r="M19"/>
  <c r="M16"/>
  <c r="M3"/>
  <c r="M29" i="4"/>
  <c r="L58" i="3"/>
  <c r="L89"/>
  <c r="L90"/>
  <c r="H39" i="37"/>
  <c r="AG54" i="16"/>
  <c r="AG53"/>
  <c r="AG105"/>
  <c r="AG106"/>
  <c r="AH54"/>
  <c r="AH53"/>
  <c r="AH105"/>
  <c r="AH106"/>
  <c r="AI54"/>
  <c r="AI53"/>
  <c r="AI105"/>
  <c r="AI106"/>
  <c r="Q32"/>
  <c r="Q33"/>
  <c r="Q34"/>
  <c r="Q7"/>
  <c r="X46"/>
  <c r="X45"/>
  <c r="X54"/>
  <c r="X53"/>
  <c r="X105"/>
  <c r="M21" i="4"/>
  <c r="N21"/>
  <c r="O21"/>
  <c r="P21"/>
  <c r="Q21"/>
  <c r="R21"/>
  <c r="O6" i="35"/>
  <c r="P6"/>
  <c r="Q6"/>
  <c r="R6"/>
  <c r="S21" i="4"/>
  <c r="T21"/>
  <c r="U21"/>
  <c r="V21"/>
  <c r="AG46" i="16"/>
  <c r="AG45"/>
  <c r="AG7"/>
  <c r="AG32"/>
  <c r="AG33"/>
  <c r="AG34"/>
  <c r="AG39"/>
  <c r="AG107"/>
  <c r="AG115"/>
  <c r="AG116"/>
  <c r="AG117"/>
  <c r="X9" i="4"/>
  <c r="X10"/>
  <c r="AH46" i="16"/>
  <c r="AH45"/>
  <c r="AH7"/>
  <c r="AH32"/>
  <c r="AH33"/>
  <c r="AH34"/>
  <c r="AH39"/>
  <c r="AH107"/>
  <c r="AH115"/>
  <c r="AH116"/>
  <c r="AH117"/>
  <c r="Y9" i="4"/>
  <c r="Y10"/>
  <c r="AI46" i="16"/>
  <c r="AI45"/>
  <c r="AI7"/>
  <c r="AI32"/>
  <c r="AI33"/>
  <c r="AI34"/>
  <c r="AI39"/>
  <c r="AI107"/>
  <c r="AI115"/>
  <c r="AI116"/>
  <c r="AI117"/>
  <c r="Z9" i="4"/>
  <c r="Z10"/>
  <c r="AO7" i="16"/>
  <c r="AO32"/>
  <c r="AO33"/>
  <c r="AO34"/>
  <c r="AO39"/>
  <c r="AO107"/>
  <c r="AO115"/>
  <c r="AO116"/>
  <c r="AO117"/>
  <c r="AP7"/>
  <c r="AP32"/>
  <c r="AP33"/>
  <c r="AP34"/>
  <c r="AP39"/>
  <c r="AP107"/>
  <c r="AP115"/>
  <c r="AP116"/>
  <c r="AP117"/>
  <c r="AQ7"/>
  <c r="AQ32"/>
  <c r="AQ33"/>
  <c r="AQ34"/>
  <c r="AQ39"/>
  <c r="AQ107"/>
  <c r="AQ115"/>
  <c r="AQ116"/>
  <c r="AQ117"/>
  <c r="AR7"/>
  <c r="AR32"/>
  <c r="AR33"/>
  <c r="AR34"/>
  <c r="AR39"/>
  <c r="AR107"/>
  <c r="AR115"/>
  <c r="AR116"/>
  <c r="AR117"/>
  <c r="W21" i="4"/>
  <c r="X21"/>
  <c r="Y21"/>
  <c r="Z21"/>
  <c r="AA21"/>
  <c r="AB21"/>
  <c r="AC21"/>
  <c r="AD21"/>
  <c r="AE21"/>
  <c r="N18" i="5"/>
  <c r="O18"/>
  <c r="P18"/>
  <c r="Q18"/>
  <c r="R18"/>
  <c r="S18"/>
  <c r="T18"/>
  <c r="U18"/>
  <c r="V18"/>
  <c r="X7"/>
  <c r="X8"/>
  <c r="Y7"/>
  <c r="Y8"/>
  <c r="Z7"/>
  <c r="Z8"/>
  <c r="AA7"/>
  <c r="AA8"/>
  <c r="AB7"/>
  <c r="AB8"/>
  <c r="AC7"/>
  <c r="AC8"/>
  <c r="AC8" i="35"/>
  <c r="AD7" i="5"/>
  <c r="AD8"/>
  <c r="W18"/>
  <c r="X18"/>
  <c r="Y18"/>
  <c r="Z18"/>
  <c r="AA18"/>
  <c r="AB18"/>
  <c r="AC18"/>
  <c r="AD18"/>
  <c r="AE18"/>
  <c r="M18" i="6"/>
  <c r="O18"/>
  <c r="P18"/>
  <c r="Q18"/>
  <c r="R18"/>
  <c r="S18"/>
  <c r="T18"/>
  <c r="U18"/>
  <c r="V18"/>
  <c r="X7"/>
  <c r="X8"/>
  <c r="Y7"/>
  <c r="Y8"/>
  <c r="Z7"/>
  <c r="Z8"/>
  <c r="AA7"/>
  <c r="AA8"/>
  <c r="AB7"/>
  <c r="AB8"/>
  <c r="AC7"/>
  <c r="AC8"/>
  <c r="AD7"/>
  <c r="AD8"/>
  <c r="W18"/>
  <c r="X18"/>
  <c r="Y18"/>
  <c r="Z18"/>
  <c r="AA18"/>
  <c r="AB18"/>
  <c r="AC18"/>
  <c r="AD18"/>
  <c r="AE18"/>
  <c r="M18" i="28"/>
  <c r="N18"/>
  <c r="O18"/>
  <c r="P18"/>
  <c r="Q18"/>
  <c r="R18"/>
  <c r="S18"/>
  <c r="T18"/>
  <c r="U18"/>
  <c r="V18"/>
  <c r="X7"/>
  <c r="X8"/>
  <c r="Y7"/>
  <c r="Y8"/>
  <c r="Z7"/>
  <c r="Z8"/>
  <c r="AA7"/>
  <c r="AA8"/>
  <c r="AB7"/>
  <c r="AB8"/>
  <c r="AC7"/>
  <c r="AC8"/>
  <c r="AD7"/>
  <c r="AD8"/>
  <c r="W18"/>
  <c r="X18"/>
  <c r="Y18"/>
  <c r="Z18"/>
  <c r="AA18"/>
  <c r="AB18"/>
  <c r="AC18"/>
  <c r="AD18"/>
  <c r="AE18"/>
  <c r="AT7" i="16"/>
  <c r="AT32"/>
  <c r="AT33"/>
  <c r="AT34"/>
  <c r="AT39"/>
  <c r="AT107"/>
  <c r="AT115"/>
  <c r="AT116"/>
  <c r="AT117"/>
  <c r="AT122"/>
  <c r="AT123"/>
  <c r="AP68" i="12"/>
  <c r="AP13"/>
  <c r="AP67"/>
  <c r="AP69"/>
  <c r="AP70"/>
  <c r="AF21" i="4"/>
  <c r="AF18" i="5"/>
  <c r="AF18" i="6"/>
  <c r="AF18" i="28"/>
  <c r="AU7" i="16"/>
  <c r="AU32"/>
  <c r="AU33"/>
  <c r="AU34"/>
  <c r="AU39"/>
  <c r="AU107"/>
  <c r="AU115"/>
  <c r="AU116"/>
  <c r="AU117"/>
  <c r="AU122"/>
  <c r="AU123"/>
  <c r="AQ68" i="12"/>
  <c r="AQ13"/>
  <c r="AQ67"/>
  <c r="AQ69"/>
  <c r="AQ70"/>
  <c r="AG21" i="4"/>
  <c r="AG18" i="5"/>
  <c r="AG18" i="6"/>
  <c r="AG18" i="28"/>
  <c r="AV7" i="16"/>
  <c r="AV32"/>
  <c r="AV33"/>
  <c r="AV34"/>
  <c r="AV39"/>
  <c r="AV107"/>
  <c r="AV115"/>
  <c r="AV116"/>
  <c r="AV117"/>
  <c r="AV122"/>
  <c r="AV123"/>
  <c r="AR68" i="12"/>
  <c r="AR13"/>
  <c r="AR67"/>
  <c r="AR69"/>
  <c r="AR70"/>
  <c r="AH21" i="4"/>
  <c r="AH18" i="5"/>
  <c r="AH18" i="6"/>
  <c r="AH18" i="28"/>
  <c r="AW7" i="16"/>
  <c r="AW32"/>
  <c r="AW33"/>
  <c r="AW34"/>
  <c r="AW39"/>
  <c r="AW107"/>
  <c r="AW115"/>
  <c r="AW116"/>
  <c r="AW117"/>
  <c r="AW122"/>
  <c r="AW123"/>
  <c r="AS68" i="12"/>
  <c r="AS13"/>
  <c r="AS67"/>
  <c r="AS69"/>
  <c r="AS70"/>
  <c r="S6" i="35"/>
  <c r="T6"/>
  <c r="T11"/>
  <c r="U6"/>
  <c r="U11"/>
  <c r="V6"/>
  <c r="V11"/>
  <c r="W6"/>
  <c r="W11"/>
  <c r="X6"/>
  <c r="Y6"/>
  <c r="Z6"/>
  <c r="AA6"/>
  <c r="AB6"/>
  <c r="AC6"/>
  <c r="AD6"/>
  <c r="AS7" i="16"/>
  <c r="AS32"/>
  <c r="AS33"/>
  <c r="AS34"/>
  <c r="AS39"/>
  <c r="AS107"/>
  <c r="AS115"/>
  <c r="AS116"/>
  <c r="AS117"/>
  <c r="AS122"/>
  <c r="AS123"/>
  <c r="AO68" i="12"/>
  <c r="AO13"/>
  <c r="AO67"/>
  <c r="AO69"/>
  <c r="AO70"/>
  <c r="AP122" i="16"/>
  <c r="AP123"/>
  <c r="AL68" i="12"/>
  <c r="AL13"/>
  <c r="AL67"/>
  <c r="AL69"/>
  <c r="AL70"/>
  <c r="AQ122" i="16"/>
  <c r="AQ123"/>
  <c r="AM68" i="12"/>
  <c r="AM13"/>
  <c r="AM67"/>
  <c r="AM69"/>
  <c r="AM70"/>
  <c r="AR122" i="16"/>
  <c r="AR123"/>
  <c r="AN68" i="12"/>
  <c r="AN13"/>
  <c r="AN67"/>
  <c r="AN69"/>
  <c r="AN70"/>
  <c r="AX7" i="16"/>
  <c r="AX32"/>
  <c r="AX33"/>
  <c r="AX34"/>
  <c r="AX39"/>
  <c r="AX107"/>
  <c r="AX115"/>
  <c r="AX116"/>
  <c r="AX117"/>
  <c r="AT21" i="12"/>
  <c r="AX122" i="16"/>
  <c r="AX123"/>
  <c r="AT68" i="12"/>
  <c r="AT13"/>
  <c r="AT67"/>
  <c r="AT69"/>
  <c r="AT70"/>
  <c r="AY7" i="16"/>
  <c r="AY32"/>
  <c r="AY33"/>
  <c r="AY34"/>
  <c r="AY39"/>
  <c r="AY107"/>
  <c r="AY115"/>
  <c r="AY116"/>
  <c r="AY117"/>
  <c r="AU21" i="12"/>
  <c r="AY122" i="16"/>
  <c r="AY123"/>
  <c r="AU68" i="12"/>
  <c r="AU13"/>
  <c r="AU67"/>
  <c r="AU69"/>
  <c r="AU70"/>
  <c r="AZ7" i="16"/>
  <c r="AZ32"/>
  <c r="AZ33"/>
  <c r="AZ34"/>
  <c r="AZ39"/>
  <c r="AZ107"/>
  <c r="AZ115"/>
  <c r="AZ116"/>
  <c r="AZ117"/>
  <c r="AV21" i="12"/>
  <c r="AZ122" i="16"/>
  <c r="AZ123"/>
  <c r="AV68" i="12"/>
  <c r="AV13"/>
  <c r="AV67"/>
  <c r="AV69"/>
  <c r="AV70"/>
  <c r="AO122" i="16"/>
  <c r="AO123"/>
  <c r="AK68" i="12"/>
  <c r="AK13"/>
  <c r="AK67"/>
  <c r="AK69"/>
  <c r="AK70"/>
  <c r="AK22"/>
  <c r="AK37"/>
  <c r="AL22"/>
  <c r="AL37"/>
  <c r="AM22"/>
  <c r="AM37"/>
  <c r="AN22"/>
  <c r="AN37"/>
  <c r="AO22"/>
  <c r="AO37"/>
  <c r="AP22"/>
  <c r="AP37"/>
  <c r="AQ22"/>
  <c r="AQ37"/>
  <c r="AW37"/>
  <c r="AR22"/>
  <c r="AR37"/>
  <c r="AS22"/>
  <c r="AS37"/>
  <c r="AT22"/>
  <c r="AT37"/>
  <c r="AU22"/>
  <c r="AU37"/>
  <c r="AV22"/>
  <c r="AV37"/>
  <c r="AK12"/>
  <c r="AL12"/>
  <c r="AM12"/>
  <c r="AN12"/>
  <c r="AO12"/>
  <c r="AP12"/>
  <c r="AQ12"/>
  <c r="AR12"/>
  <c r="AS12"/>
  <c r="AT12"/>
  <c r="AU12"/>
  <c r="AV12"/>
  <c r="AW12"/>
  <c r="N12" i="23"/>
  <c r="AK14" i="12"/>
  <c r="AL14"/>
  <c r="AM14"/>
  <c r="AN14"/>
  <c r="AO14"/>
  <c r="AP14"/>
  <c r="AQ14"/>
  <c r="AR14"/>
  <c r="AS14"/>
  <c r="AT14"/>
  <c r="AU14"/>
  <c r="AV14"/>
  <c r="AW14"/>
  <c r="N11" i="23"/>
  <c r="AC46" i="16"/>
  <c r="AC45"/>
  <c r="AC54"/>
  <c r="AC53"/>
  <c r="AC105"/>
  <c r="AC7"/>
  <c r="AC32"/>
  <c r="AC33"/>
  <c r="AC34"/>
  <c r="AC39"/>
  <c r="AC107"/>
  <c r="AC115"/>
  <c r="AC116"/>
  <c r="AC117"/>
  <c r="AC122"/>
  <c r="AC123"/>
  <c r="Z68" i="12"/>
  <c r="Z13"/>
  <c r="Z67"/>
  <c r="Z69"/>
  <c r="Z70"/>
  <c r="AD46" i="16"/>
  <c r="AD45"/>
  <c r="AD54"/>
  <c r="AD53"/>
  <c r="AD105"/>
  <c r="AD7"/>
  <c r="AD32"/>
  <c r="AD33"/>
  <c r="AD34"/>
  <c r="AD39"/>
  <c r="AD122"/>
  <c r="AD123"/>
  <c r="AA68" i="12"/>
  <c r="AA13"/>
  <c r="AA67"/>
  <c r="AA69"/>
  <c r="AA70"/>
  <c r="AE46" i="16"/>
  <c r="AE45"/>
  <c r="AE54"/>
  <c r="AE53"/>
  <c r="AE105"/>
  <c r="AE7"/>
  <c r="AE32"/>
  <c r="AE33"/>
  <c r="AE34"/>
  <c r="AE39"/>
  <c r="AE122"/>
  <c r="AE123"/>
  <c r="AB68" i="12"/>
  <c r="AB13"/>
  <c r="AB67"/>
  <c r="AB69"/>
  <c r="AB70"/>
  <c r="AF46" i="16"/>
  <c r="AF45"/>
  <c r="AF54"/>
  <c r="AF53"/>
  <c r="AF105"/>
  <c r="AF7"/>
  <c r="AF32"/>
  <c r="AF33"/>
  <c r="AF34"/>
  <c r="AF39"/>
  <c r="AF122"/>
  <c r="AF123"/>
  <c r="AC68" i="12"/>
  <c r="AC13"/>
  <c r="AC67"/>
  <c r="AC69"/>
  <c r="AC70"/>
  <c r="AB46" i="16"/>
  <c r="AB45"/>
  <c r="AB54"/>
  <c r="AB53"/>
  <c r="AB105"/>
  <c r="AB7"/>
  <c r="AB32"/>
  <c r="AB33"/>
  <c r="AB34"/>
  <c r="AB39"/>
  <c r="AB122"/>
  <c r="AB123"/>
  <c r="Y68" i="12"/>
  <c r="Y13"/>
  <c r="Y67"/>
  <c r="Y69"/>
  <c r="Y70"/>
  <c r="V21"/>
  <c r="Y122" i="16"/>
  <c r="Y123"/>
  <c r="V68" i="12"/>
  <c r="V13"/>
  <c r="V67"/>
  <c r="V69"/>
  <c r="V70"/>
  <c r="V35"/>
  <c r="W21"/>
  <c r="Z122" i="16"/>
  <c r="Z123"/>
  <c r="W68" i="12"/>
  <c r="W13"/>
  <c r="W67"/>
  <c r="W69"/>
  <c r="W70"/>
  <c r="W35"/>
  <c r="X21"/>
  <c r="AA122" i="16"/>
  <c r="AA123"/>
  <c r="X68" i="12"/>
  <c r="X13"/>
  <c r="X67"/>
  <c r="X69"/>
  <c r="X70"/>
  <c r="X35"/>
  <c r="AD21"/>
  <c r="AG122" i="16"/>
  <c r="AG123"/>
  <c r="AD68" i="12"/>
  <c r="AD13"/>
  <c r="AD67"/>
  <c r="AD69"/>
  <c r="AD70"/>
  <c r="AD35"/>
  <c r="AE21"/>
  <c r="AH122" i="16"/>
  <c r="AH123"/>
  <c r="AE68" i="12"/>
  <c r="AE13"/>
  <c r="AE67"/>
  <c r="AE69"/>
  <c r="AE70"/>
  <c r="AE35"/>
  <c r="AF21"/>
  <c r="AI122" i="16"/>
  <c r="AI123"/>
  <c r="AF68" i="12"/>
  <c r="AF13"/>
  <c r="AF67"/>
  <c r="AF69"/>
  <c r="AF70"/>
  <c r="AF35"/>
  <c r="U21"/>
  <c r="X122" i="16"/>
  <c r="X123"/>
  <c r="U68" i="12"/>
  <c r="U13"/>
  <c r="U67"/>
  <c r="U69"/>
  <c r="U70"/>
  <c r="U35"/>
  <c r="U22"/>
  <c r="U37"/>
  <c r="V22"/>
  <c r="V37"/>
  <c r="W22"/>
  <c r="W37"/>
  <c r="X22"/>
  <c r="X37"/>
  <c r="Y22"/>
  <c r="Y37"/>
  <c r="Z22"/>
  <c r="Z37"/>
  <c r="AA22"/>
  <c r="AA37"/>
  <c r="AB22"/>
  <c r="AB37"/>
  <c r="AC22"/>
  <c r="AC37"/>
  <c r="AD22"/>
  <c r="AD37"/>
  <c r="AE22"/>
  <c r="AE37"/>
  <c r="AF22"/>
  <c r="AF37"/>
  <c r="U12"/>
  <c r="V12"/>
  <c r="AG12"/>
  <c r="J12" i="23"/>
  <c r="W12" i="12"/>
  <c r="X12"/>
  <c r="Y12"/>
  <c r="Z12"/>
  <c r="AA12"/>
  <c r="AB12"/>
  <c r="AC12"/>
  <c r="AD12"/>
  <c r="AE12"/>
  <c r="AF12"/>
  <c r="V25"/>
  <c r="W25"/>
  <c r="X25"/>
  <c r="AD25"/>
  <c r="AE25"/>
  <c r="AF25"/>
  <c r="U25"/>
  <c r="U14"/>
  <c r="V14"/>
  <c r="W14"/>
  <c r="X14"/>
  <c r="Y14"/>
  <c r="Z14"/>
  <c r="AA14"/>
  <c r="AB14"/>
  <c r="AC14"/>
  <c r="AD14"/>
  <c r="AE14"/>
  <c r="AF14"/>
  <c r="AG14"/>
  <c r="J11" i="23"/>
  <c r="K241" i="38"/>
  <c r="K242"/>
  <c r="K243"/>
  <c r="K211"/>
  <c r="K212"/>
  <c r="K213"/>
  <c r="K181"/>
  <c r="K182"/>
  <c r="K183"/>
  <c r="K151"/>
  <c r="K152"/>
  <c r="K153"/>
  <c r="K121"/>
  <c r="K122"/>
  <c r="K123"/>
  <c r="K91"/>
  <c r="K92"/>
  <c r="K93"/>
  <c r="K61"/>
  <c r="K62"/>
  <c r="K63"/>
  <c r="K31"/>
  <c r="K32"/>
  <c r="K33"/>
  <c r="K2"/>
  <c r="K3"/>
  <c r="K4"/>
  <c r="K19" i="10"/>
  <c r="K18"/>
  <c r="K5"/>
  <c r="K7"/>
  <c r="K6"/>
  <c r="K4"/>
  <c r="L10" i="35"/>
  <c r="D1"/>
  <c r="L9"/>
  <c r="L23" i="28"/>
  <c r="L23" i="35"/>
  <c r="L21" i="36"/>
  <c r="L22" i="28"/>
  <c r="L22" i="35"/>
  <c r="L20" i="36"/>
  <c r="L31" i="28"/>
  <c r="L24"/>
  <c r="L26"/>
  <c r="L23" i="6"/>
  <c r="L22"/>
  <c r="L29" i="4"/>
  <c r="L27"/>
  <c r="G27"/>
  <c r="H27"/>
  <c r="I27"/>
  <c r="J27"/>
  <c r="K27"/>
  <c r="M63" i="26"/>
  <c r="M53"/>
  <c r="M67"/>
  <c r="M68"/>
  <c r="M62"/>
  <c r="M66"/>
  <c r="M59"/>
  <c r="M54"/>
  <c r="M52"/>
  <c r="M34"/>
  <c r="M30"/>
  <c r="M21"/>
  <c r="L21"/>
  <c r="L59"/>
  <c r="L52"/>
  <c r="L50"/>
  <c r="L42"/>
  <c r="L46"/>
  <c r="L38"/>
  <c r="L34"/>
  <c r="L53"/>
  <c r="L54"/>
  <c r="L30"/>
  <c r="M24"/>
  <c r="M23"/>
  <c r="L16"/>
  <c r="L8"/>
  <c r="L4"/>
  <c r="M64"/>
  <c r="M25"/>
  <c r="L75" i="3"/>
  <c r="L72"/>
  <c r="L69"/>
  <c r="L38"/>
  <c r="L36"/>
  <c r="L30"/>
  <c r="L37"/>
  <c r="L31"/>
  <c r="L19"/>
  <c r="L16"/>
  <c r="M12" i="26"/>
  <c r="M16"/>
  <c r="M17"/>
  <c r="M15"/>
  <c r="M4"/>
  <c r="G36" i="3"/>
  <c r="G38"/>
  <c r="J241" i="38"/>
  <c r="J242"/>
  <c r="J243"/>
  <c r="J211"/>
  <c r="J212"/>
  <c r="J213"/>
  <c r="J181"/>
  <c r="J182"/>
  <c r="J183"/>
  <c r="J151"/>
  <c r="J152"/>
  <c r="J153"/>
  <c r="J121"/>
  <c r="J122"/>
  <c r="J123"/>
  <c r="J91"/>
  <c r="J92"/>
  <c r="J93"/>
  <c r="J61"/>
  <c r="J62"/>
  <c r="J63"/>
  <c r="J31"/>
  <c r="J32"/>
  <c r="J33"/>
  <c r="J2"/>
  <c r="J3"/>
  <c r="J4"/>
  <c r="J5" i="10"/>
  <c r="J19"/>
  <c r="B21"/>
  <c r="I19"/>
  <c r="H19"/>
  <c r="J18"/>
  <c r="I18"/>
  <c r="H18"/>
  <c r="J15"/>
  <c r="I15"/>
  <c r="H15"/>
  <c r="J7"/>
  <c r="I7"/>
  <c r="H7"/>
  <c r="J4"/>
  <c r="E169" i="12"/>
  <c r="F169"/>
  <c r="G169"/>
  <c r="H169"/>
  <c r="I169"/>
  <c r="J169"/>
  <c r="K169"/>
  <c r="L169"/>
  <c r="M169"/>
  <c r="N169"/>
  <c r="O169"/>
  <c r="E170"/>
  <c r="F170"/>
  <c r="G170"/>
  <c r="H170"/>
  <c r="I170"/>
  <c r="J170"/>
  <c r="K170"/>
  <c r="L170"/>
  <c r="M170"/>
  <c r="N170"/>
  <c r="O170"/>
  <c r="D170"/>
  <c r="D169"/>
  <c r="E161"/>
  <c r="F161"/>
  <c r="G161"/>
  <c r="H161"/>
  <c r="I161"/>
  <c r="J161"/>
  <c r="K161"/>
  <c r="L161"/>
  <c r="M161"/>
  <c r="N161"/>
  <c r="O161"/>
  <c r="D161"/>
  <c r="D162"/>
  <c r="E154"/>
  <c r="F154"/>
  <c r="G154"/>
  <c r="H154"/>
  <c r="I154"/>
  <c r="J154"/>
  <c r="K154"/>
  <c r="L154"/>
  <c r="M154"/>
  <c r="N154"/>
  <c r="O154"/>
  <c r="D154"/>
  <c r="E153"/>
  <c r="F153"/>
  <c r="G153"/>
  <c r="H153"/>
  <c r="I153"/>
  <c r="J153"/>
  <c r="K153"/>
  <c r="L153"/>
  <c r="M153"/>
  <c r="N153"/>
  <c r="O153"/>
  <c r="D153"/>
  <c r="G39" i="37"/>
  <c r="E39"/>
  <c r="F39"/>
  <c r="D39"/>
  <c r="H37"/>
  <c r="S68" i="16"/>
  <c r="Y69"/>
  <c r="Z69"/>
  <c r="AA69"/>
  <c r="AB69"/>
  <c r="AC69"/>
  <c r="AD69"/>
  <c r="AE69"/>
  <c r="AF69"/>
  <c r="AG69"/>
  <c r="Y67"/>
  <c r="Z67"/>
  <c r="AA67"/>
  <c r="AB67"/>
  <c r="AC67"/>
  <c r="AD67"/>
  <c r="AE67"/>
  <c r="AF67"/>
  <c r="AG67"/>
  <c r="X69"/>
  <c r="X67"/>
  <c r="Q69"/>
  <c r="R69"/>
  <c r="R67"/>
  <c r="Q67"/>
  <c r="AG20" i="14"/>
  <c r="AF20"/>
  <c r="K23" i="6"/>
  <c r="K22"/>
  <c r="K18"/>
  <c r="K29" i="4"/>
  <c r="K72" i="3"/>
  <c r="K69"/>
  <c r="K37"/>
  <c r="K38"/>
  <c r="K36"/>
  <c r="K34"/>
  <c r="K31"/>
  <c r="K32"/>
  <c r="J32"/>
  <c r="I32"/>
  <c r="H32"/>
  <c r="G32"/>
  <c r="K30"/>
  <c r="K19"/>
  <c r="K16"/>
  <c r="J21" i="10"/>
  <c r="I21"/>
  <c r="H21"/>
  <c r="H12" i="37"/>
  <c r="AF10" i="35"/>
  <c r="AF9" i="36"/>
  <c r="E50" i="37"/>
  <c r="AG10" i="35"/>
  <c r="AG9" i="36"/>
  <c r="AH10" i="35"/>
  <c r="AH9" i="36"/>
  <c r="AI10" i="35"/>
  <c r="AI9" i="36"/>
  <c r="I241" i="38"/>
  <c r="I242"/>
  <c r="I243"/>
  <c r="I211"/>
  <c r="I212"/>
  <c r="I213"/>
  <c r="I181"/>
  <c r="I182"/>
  <c r="I183"/>
  <c r="I151"/>
  <c r="I152"/>
  <c r="I153"/>
  <c r="I121"/>
  <c r="I122"/>
  <c r="I123"/>
  <c r="I91"/>
  <c r="I92"/>
  <c r="I93"/>
  <c r="I61"/>
  <c r="I62"/>
  <c r="I63"/>
  <c r="I31"/>
  <c r="I32"/>
  <c r="I33"/>
  <c r="I2"/>
  <c r="I3"/>
  <c r="I4"/>
  <c r="I5" i="10"/>
  <c r="H5"/>
  <c r="G5"/>
  <c r="F5"/>
  <c r="E5"/>
  <c r="D5"/>
  <c r="J6"/>
  <c r="I6"/>
  <c r="H6"/>
  <c r="G6"/>
  <c r="F6"/>
  <c r="I4"/>
  <c r="H4"/>
  <c r="E45" i="37"/>
  <c r="F45"/>
  <c r="D45"/>
  <c r="AJ52" i="16"/>
  <c r="AR51"/>
  <c r="AQ51"/>
  <c r="AP51"/>
  <c r="AO51"/>
  <c r="BA51"/>
  <c r="BA52"/>
  <c r="H43" i="37"/>
  <c r="H48"/>
  <c r="F46"/>
  <c r="E46"/>
  <c r="M126" i="16"/>
  <c r="N126"/>
  <c r="M127"/>
  <c r="N127"/>
  <c r="M7"/>
  <c r="M32"/>
  <c r="M33"/>
  <c r="M34"/>
  <c r="N7"/>
  <c r="N32"/>
  <c r="N33"/>
  <c r="N34"/>
  <c r="H126"/>
  <c r="H127"/>
  <c r="I126"/>
  <c r="I127"/>
  <c r="J126"/>
  <c r="J127"/>
  <c r="K126"/>
  <c r="K127"/>
  <c r="L126"/>
  <c r="L127"/>
  <c r="H7"/>
  <c r="H32"/>
  <c r="H33"/>
  <c r="H34"/>
  <c r="I7"/>
  <c r="I32"/>
  <c r="I33"/>
  <c r="I34"/>
  <c r="J7"/>
  <c r="J32"/>
  <c r="J33"/>
  <c r="J34"/>
  <c r="K7"/>
  <c r="K32"/>
  <c r="K33"/>
  <c r="K34"/>
  <c r="L7"/>
  <c r="L32"/>
  <c r="L33"/>
  <c r="L34"/>
  <c r="F11" i="40"/>
  <c r="G11"/>
  <c r="H11"/>
  <c r="I11"/>
  <c r="B11"/>
  <c r="AW118" i="2"/>
  <c r="AV118"/>
  <c r="AU118"/>
  <c r="AT118"/>
  <c r="AS118"/>
  <c r="AR118"/>
  <c r="AQ118"/>
  <c r="AP118"/>
  <c r="AO118"/>
  <c r="AN118"/>
  <c r="AM118"/>
  <c r="AL118"/>
  <c r="AF118"/>
  <c r="AE118"/>
  <c r="AD118"/>
  <c r="AC118"/>
  <c r="AB118"/>
  <c r="AA118"/>
  <c r="Z118"/>
  <c r="Y118"/>
  <c r="X118"/>
  <c r="W118"/>
  <c r="V118"/>
  <c r="U118"/>
  <c r="T118"/>
  <c r="M112"/>
  <c r="M114"/>
  <c r="M118"/>
  <c r="L112"/>
  <c r="L114"/>
  <c r="L118"/>
  <c r="I118"/>
  <c r="H118"/>
  <c r="G118"/>
  <c r="F118"/>
  <c r="E118"/>
  <c r="D118"/>
  <c r="C118"/>
  <c r="B118"/>
  <c r="AX117"/>
  <c r="AW117"/>
  <c r="AV117"/>
  <c r="AU117"/>
  <c r="AT117"/>
  <c r="AS117"/>
  <c r="AR117"/>
  <c r="AQ117"/>
  <c r="AP117"/>
  <c r="AO117"/>
  <c r="AN117"/>
  <c r="AM117"/>
  <c r="AL117"/>
  <c r="AF117"/>
  <c r="AE117"/>
  <c r="AD117"/>
  <c r="AC117"/>
  <c r="AB117"/>
  <c r="AA117"/>
  <c r="Z117"/>
  <c r="Y117"/>
  <c r="X117"/>
  <c r="W117"/>
  <c r="V117"/>
  <c r="U117"/>
  <c r="T117"/>
  <c r="M111"/>
  <c r="M110"/>
  <c r="M113"/>
  <c r="M117"/>
  <c r="L113"/>
  <c r="L111"/>
  <c r="L110"/>
  <c r="L117"/>
  <c r="I117"/>
  <c r="H117"/>
  <c r="G117"/>
  <c r="F117"/>
  <c r="E117"/>
  <c r="D117"/>
  <c r="C117"/>
  <c r="B117"/>
  <c r="AY115"/>
  <c r="AX115"/>
  <c r="AW115"/>
  <c r="AV115"/>
  <c r="AU115"/>
  <c r="AT115"/>
  <c r="AS115"/>
  <c r="AR115"/>
  <c r="AQ115"/>
  <c r="AP115"/>
  <c r="AO115"/>
  <c r="AN115"/>
  <c r="AM115"/>
  <c r="AL115"/>
  <c r="AF115"/>
  <c r="AE115"/>
  <c r="AD115"/>
  <c r="AC115"/>
  <c r="AB115"/>
  <c r="AA115"/>
  <c r="Z115"/>
  <c r="Y115"/>
  <c r="X115"/>
  <c r="W115"/>
  <c r="V115"/>
  <c r="U115"/>
  <c r="T115"/>
  <c r="M115"/>
  <c r="L115"/>
  <c r="H115"/>
  <c r="G115"/>
  <c r="F115"/>
  <c r="E115"/>
  <c r="D115"/>
  <c r="C115"/>
  <c r="B115"/>
  <c r="AY114"/>
  <c r="AX114"/>
  <c r="AW114"/>
  <c r="AV114"/>
  <c r="AU114"/>
  <c r="AT114"/>
  <c r="AS114"/>
  <c r="AR114"/>
  <c r="AQ114"/>
  <c r="AP114"/>
  <c r="AO114"/>
  <c r="AN114"/>
  <c r="AM114"/>
  <c r="AL114"/>
  <c r="AF114"/>
  <c r="AE114"/>
  <c r="AD114"/>
  <c r="AC114"/>
  <c r="AB114"/>
  <c r="AA114"/>
  <c r="Z114"/>
  <c r="Y114"/>
  <c r="X114"/>
  <c r="W114"/>
  <c r="V114"/>
  <c r="U114"/>
  <c r="T114"/>
  <c r="I114"/>
  <c r="H114"/>
  <c r="G114"/>
  <c r="F114"/>
  <c r="E114"/>
  <c r="D114"/>
  <c r="C114"/>
  <c r="B114"/>
  <c r="AY113"/>
  <c r="AX113"/>
  <c r="AW113"/>
  <c r="AV113"/>
  <c r="AU113"/>
  <c r="AT113"/>
  <c r="AS113"/>
  <c r="AR113"/>
  <c r="AQ113"/>
  <c r="AP113"/>
  <c r="AO113"/>
  <c r="AN113"/>
  <c r="AM113"/>
  <c r="AL113"/>
  <c r="AF113"/>
  <c r="AE113"/>
  <c r="AD113"/>
  <c r="AC113"/>
  <c r="AB113"/>
  <c r="AA113"/>
  <c r="Z113"/>
  <c r="Y113"/>
  <c r="X113"/>
  <c r="W113"/>
  <c r="V113"/>
  <c r="U113"/>
  <c r="T113"/>
  <c r="K113"/>
  <c r="J113"/>
  <c r="I113"/>
  <c r="H113"/>
  <c r="G113"/>
  <c r="F113"/>
  <c r="E113"/>
  <c r="D113"/>
  <c r="C113"/>
  <c r="B113"/>
  <c r="AY112"/>
  <c r="AX112"/>
  <c r="AW112"/>
  <c r="AV112"/>
  <c r="AU112"/>
  <c r="AT112"/>
  <c r="AS112"/>
  <c r="AR112"/>
  <c r="AQ112"/>
  <c r="AP112"/>
  <c r="AO112"/>
  <c r="AN112"/>
  <c r="AM112"/>
  <c r="AL112"/>
  <c r="AF112"/>
  <c r="AE112"/>
  <c r="AD112"/>
  <c r="AC112"/>
  <c r="AB112"/>
  <c r="AA112"/>
  <c r="Z112"/>
  <c r="Y112"/>
  <c r="X112"/>
  <c r="W112"/>
  <c r="V112"/>
  <c r="U112"/>
  <c r="T112"/>
  <c r="I112"/>
  <c r="H112"/>
  <c r="G112"/>
  <c r="F112"/>
  <c r="E112"/>
  <c r="D112"/>
  <c r="C112"/>
  <c r="B112"/>
  <c r="AY111"/>
  <c r="AX111"/>
  <c r="AW111"/>
  <c r="AV111"/>
  <c r="AU111"/>
  <c r="AT111"/>
  <c r="AS111"/>
  <c r="AR111"/>
  <c r="AQ111"/>
  <c r="AP111"/>
  <c r="AO111"/>
  <c r="AN111"/>
  <c r="AM111"/>
  <c r="AL111"/>
  <c r="AF111"/>
  <c r="AE111"/>
  <c r="AD111"/>
  <c r="AC111"/>
  <c r="AB111"/>
  <c r="AA111"/>
  <c r="Z111"/>
  <c r="Y111"/>
  <c r="X111"/>
  <c r="W111"/>
  <c r="V111"/>
  <c r="U111"/>
  <c r="T111"/>
  <c r="I111"/>
  <c r="H111"/>
  <c r="G111"/>
  <c r="F111"/>
  <c r="E111"/>
  <c r="D111"/>
  <c r="C111"/>
  <c r="B111"/>
  <c r="AY110"/>
  <c r="AX110"/>
  <c r="AW110"/>
  <c r="AV110"/>
  <c r="AU110"/>
  <c r="AT110"/>
  <c r="AS110"/>
  <c r="AR110"/>
  <c r="AQ110"/>
  <c r="AP110"/>
  <c r="AO110"/>
  <c r="AN110"/>
  <c r="AM110"/>
  <c r="AL110"/>
  <c r="AF110"/>
  <c r="AE110"/>
  <c r="AD110"/>
  <c r="AC110"/>
  <c r="AB110"/>
  <c r="AA110"/>
  <c r="Z110"/>
  <c r="Y110"/>
  <c r="X110"/>
  <c r="W110"/>
  <c r="V110"/>
  <c r="U110"/>
  <c r="T110"/>
  <c r="I110"/>
  <c r="H110"/>
  <c r="G110"/>
  <c r="F110"/>
  <c r="E110"/>
  <c r="D110"/>
  <c r="C110"/>
  <c r="B110"/>
  <c r="T108"/>
  <c r="BB107"/>
  <c r="BA107"/>
  <c r="AZ107"/>
  <c r="AY107"/>
  <c r="AX107"/>
  <c r="AW107"/>
  <c r="AV107"/>
  <c r="AU107"/>
  <c r="AT107"/>
  <c r="AS107"/>
  <c r="AR107"/>
  <c r="AQ107"/>
  <c r="AP107"/>
  <c r="AO107"/>
  <c r="AN107"/>
  <c r="AM107"/>
  <c r="AL107"/>
  <c r="AJ107"/>
  <c r="AI107"/>
  <c r="AH107"/>
  <c r="AG107"/>
  <c r="AF107"/>
  <c r="AE107"/>
  <c r="AD107"/>
  <c r="AC107"/>
  <c r="AB107"/>
  <c r="AA107"/>
  <c r="Z107"/>
  <c r="Y107"/>
  <c r="X107"/>
  <c r="W107"/>
  <c r="V107"/>
  <c r="U107"/>
  <c r="T107"/>
  <c r="P107"/>
  <c r="H107"/>
  <c r="G107"/>
  <c r="F107"/>
  <c r="E107"/>
  <c r="D107"/>
  <c r="C107"/>
  <c r="B107"/>
  <c r="BB105"/>
  <c r="BA105"/>
  <c r="AY105"/>
  <c r="AX105"/>
  <c r="AW105"/>
  <c r="AV105"/>
  <c r="AU105"/>
  <c r="AT105"/>
  <c r="AS105"/>
  <c r="AR105"/>
  <c r="AQ105"/>
  <c r="AP105"/>
  <c r="AO105"/>
  <c r="AN105"/>
  <c r="AM105"/>
  <c r="AL105"/>
  <c r="AJ105"/>
  <c r="AI105"/>
  <c r="AG105"/>
  <c r="AF105"/>
  <c r="AE105"/>
  <c r="AD105"/>
  <c r="AC105"/>
  <c r="AB105"/>
  <c r="AA105"/>
  <c r="Z105"/>
  <c r="Y105"/>
  <c r="X105"/>
  <c r="W105"/>
  <c r="V105"/>
  <c r="U105"/>
  <c r="T105"/>
  <c r="H105"/>
  <c r="G105"/>
  <c r="F105"/>
  <c r="E105"/>
  <c r="D105"/>
  <c r="C105"/>
  <c r="B105"/>
  <c r="AX103"/>
  <c r="AW103"/>
  <c r="AV103"/>
  <c r="AU103"/>
  <c r="AT103"/>
  <c r="AS103"/>
  <c r="AR103"/>
  <c r="AQ103"/>
  <c r="AP103"/>
  <c r="AO103"/>
  <c r="AN103"/>
  <c r="AM103"/>
  <c r="AL103"/>
  <c r="AF103"/>
  <c r="AE103"/>
  <c r="AD103"/>
  <c r="AC103"/>
  <c r="AB103"/>
  <c r="AA103"/>
  <c r="Z103"/>
  <c r="Y103"/>
  <c r="X103"/>
  <c r="W103"/>
  <c r="V103"/>
  <c r="U103"/>
  <c r="T103"/>
  <c r="K103"/>
  <c r="J103"/>
  <c r="I103"/>
  <c r="H103"/>
  <c r="G103"/>
  <c r="F103"/>
  <c r="E103"/>
  <c r="D103"/>
  <c r="C103"/>
  <c r="B103"/>
  <c r="AX99"/>
  <c r="AW99"/>
  <c r="AV99"/>
  <c r="AU99"/>
  <c r="AT99"/>
  <c r="AS99"/>
  <c r="AR99"/>
  <c r="AQ99"/>
  <c r="AP99"/>
  <c r="AO99"/>
  <c r="AN99"/>
  <c r="AM99"/>
  <c r="AL99"/>
  <c r="AF99"/>
  <c r="AE99"/>
  <c r="AD99"/>
  <c r="AC99"/>
  <c r="AB99"/>
  <c r="AA99"/>
  <c r="Z99"/>
  <c r="Y99"/>
  <c r="X99"/>
  <c r="W99"/>
  <c r="V99"/>
  <c r="U99"/>
  <c r="T99"/>
  <c r="K99"/>
  <c r="J99"/>
  <c r="N99"/>
  <c r="I99"/>
  <c r="H99"/>
  <c r="G99"/>
  <c r="F99"/>
  <c r="E99"/>
  <c r="D99"/>
  <c r="C99"/>
  <c r="B99"/>
  <c r="BB94"/>
  <c r="BA94"/>
  <c r="AZ94"/>
  <c r="AY94"/>
  <c r="AX94"/>
  <c r="AW94"/>
  <c r="AV94"/>
  <c r="AU94"/>
  <c r="AT94"/>
  <c r="AS94"/>
  <c r="AR94"/>
  <c r="AQ94"/>
  <c r="AP94"/>
  <c r="AO94"/>
  <c r="AN94"/>
  <c r="AM94"/>
  <c r="AL94"/>
  <c r="AJ94"/>
  <c r="AI94"/>
  <c r="AH94"/>
  <c r="AG94"/>
  <c r="AF94"/>
  <c r="AE94"/>
  <c r="AD94"/>
  <c r="AC94"/>
  <c r="AB94"/>
  <c r="AA94"/>
  <c r="Z94"/>
  <c r="Y94"/>
  <c r="X94"/>
  <c r="W94"/>
  <c r="V94"/>
  <c r="U94"/>
  <c r="T94"/>
  <c r="P94"/>
  <c r="I94"/>
  <c r="H94"/>
  <c r="G94"/>
  <c r="F94"/>
  <c r="E94"/>
  <c r="D94"/>
  <c r="C94"/>
  <c r="B94"/>
  <c r="BB92"/>
  <c r="BA92"/>
  <c r="AY92"/>
  <c r="AX92"/>
  <c r="AW92"/>
  <c r="AV92"/>
  <c r="AU92"/>
  <c r="AT92"/>
  <c r="AS92"/>
  <c r="AR92"/>
  <c r="AQ92"/>
  <c r="AP92"/>
  <c r="AO92"/>
  <c r="AN92"/>
  <c r="AM92"/>
  <c r="AL92"/>
  <c r="AJ92"/>
  <c r="AI92"/>
  <c r="AG92"/>
  <c r="AF92"/>
  <c r="AE92"/>
  <c r="AD92"/>
  <c r="AC92"/>
  <c r="AB92"/>
  <c r="AA92"/>
  <c r="Z92"/>
  <c r="Y92"/>
  <c r="X92"/>
  <c r="W92"/>
  <c r="V92"/>
  <c r="U92"/>
  <c r="T92"/>
  <c r="I92"/>
  <c r="H92"/>
  <c r="G92"/>
  <c r="F92"/>
  <c r="E92"/>
  <c r="D92"/>
  <c r="C92"/>
  <c r="B92"/>
  <c r="BB90"/>
  <c r="BA90"/>
  <c r="AY90"/>
  <c r="AX90"/>
  <c r="AW90"/>
  <c r="AV90"/>
  <c r="AU90"/>
  <c r="AT90"/>
  <c r="AS90"/>
  <c r="AR90"/>
  <c r="AQ90"/>
  <c r="AP90"/>
  <c r="AO90"/>
  <c r="AN90"/>
  <c r="AM90"/>
  <c r="AL90"/>
  <c r="AJ90"/>
  <c r="AI90"/>
  <c r="AG90"/>
  <c r="AF90"/>
  <c r="AE90"/>
  <c r="AD90"/>
  <c r="AC90"/>
  <c r="AB90"/>
  <c r="AA90"/>
  <c r="Z90"/>
  <c r="Y90"/>
  <c r="X90"/>
  <c r="W90"/>
  <c r="V90"/>
  <c r="U90"/>
  <c r="T90"/>
  <c r="I90"/>
  <c r="H90"/>
  <c r="G90"/>
  <c r="F90"/>
  <c r="E90"/>
  <c r="D90"/>
  <c r="C90"/>
  <c r="B90"/>
  <c r="AX88"/>
  <c r="AW88"/>
  <c r="AV88"/>
  <c r="AU88"/>
  <c r="AT88"/>
  <c r="AS88"/>
  <c r="AR88"/>
  <c r="AQ88"/>
  <c r="AP88"/>
  <c r="AO88"/>
  <c r="AN88"/>
  <c r="AM88"/>
  <c r="AL88"/>
  <c r="AF88"/>
  <c r="AE88"/>
  <c r="AD88"/>
  <c r="AC88"/>
  <c r="AB88"/>
  <c r="AA88"/>
  <c r="Z88"/>
  <c r="Y88"/>
  <c r="X88"/>
  <c r="W88"/>
  <c r="V88"/>
  <c r="U88"/>
  <c r="T88"/>
  <c r="M88"/>
  <c r="L88"/>
  <c r="I88"/>
  <c r="H88"/>
  <c r="G88"/>
  <c r="F88"/>
  <c r="E88"/>
  <c r="D88"/>
  <c r="C88"/>
  <c r="B88"/>
  <c r="AX86"/>
  <c r="AW86"/>
  <c r="AV86"/>
  <c r="AU86"/>
  <c r="AT86"/>
  <c r="AS86"/>
  <c r="AR86"/>
  <c r="AQ86"/>
  <c r="AP86"/>
  <c r="AO86"/>
  <c r="AN86"/>
  <c r="AM86"/>
  <c r="AL86"/>
  <c r="AF86"/>
  <c r="AE86"/>
  <c r="AD86"/>
  <c r="AC86"/>
  <c r="AB86"/>
  <c r="AA86"/>
  <c r="Z86"/>
  <c r="Y86"/>
  <c r="X86"/>
  <c r="W86"/>
  <c r="V86"/>
  <c r="U86"/>
  <c r="T86"/>
  <c r="K86"/>
  <c r="J86"/>
  <c r="I86"/>
  <c r="H86"/>
  <c r="G86"/>
  <c r="F86"/>
  <c r="E86"/>
  <c r="D86"/>
  <c r="C86"/>
  <c r="B86"/>
  <c r="AX84"/>
  <c r="AW84"/>
  <c r="AV84"/>
  <c r="AU84"/>
  <c r="AT84"/>
  <c r="AS84"/>
  <c r="AR84"/>
  <c r="AQ84"/>
  <c r="AP84"/>
  <c r="AO84"/>
  <c r="AN84"/>
  <c r="AM84"/>
  <c r="AL84"/>
  <c r="AF84"/>
  <c r="AE84"/>
  <c r="AD84"/>
  <c r="AC84"/>
  <c r="AB84"/>
  <c r="AA84"/>
  <c r="Z84"/>
  <c r="Y84"/>
  <c r="X84"/>
  <c r="W84"/>
  <c r="V84"/>
  <c r="U84"/>
  <c r="T84"/>
  <c r="M84"/>
  <c r="L84"/>
  <c r="K84"/>
  <c r="J84"/>
  <c r="I84"/>
  <c r="H84"/>
  <c r="G84"/>
  <c r="F84"/>
  <c r="E84"/>
  <c r="D84"/>
  <c r="C84"/>
  <c r="B84"/>
  <c r="AX82"/>
  <c r="AW82"/>
  <c r="AV82"/>
  <c r="AU82"/>
  <c r="AT82"/>
  <c r="AS82"/>
  <c r="AR82"/>
  <c r="AQ82"/>
  <c r="AP82"/>
  <c r="AO82"/>
  <c r="AN82"/>
  <c r="AM82"/>
  <c r="AL82"/>
  <c r="AF82"/>
  <c r="AE82"/>
  <c r="AD82"/>
  <c r="AC82"/>
  <c r="AB82"/>
  <c r="AA82"/>
  <c r="Z82"/>
  <c r="Y82"/>
  <c r="X82"/>
  <c r="W82"/>
  <c r="V82"/>
  <c r="U82"/>
  <c r="T82"/>
  <c r="K82"/>
  <c r="J82"/>
  <c r="I82"/>
  <c r="H82"/>
  <c r="G82"/>
  <c r="F82"/>
  <c r="E82"/>
  <c r="D82"/>
  <c r="C82"/>
  <c r="B82"/>
  <c r="AX78"/>
  <c r="AW78"/>
  <c r="AV78"/>
  <c r="AU78"/>
  <c r="AT78"/>
  <c r="AS78"/>
  <c r="AR78"/>
  <c r="AQ78"/>
  <c r="AP78"/>
  <c r="AO78"/>
  <c r="AN78"/>
  <c r="AM78"/>
  <c r="AL78"/>
  <c r="AF78"/>
  <c r="AE78"/>
  <c r="AD78"/>
  <c r="AC78"/>
  <c r="AB78"/>
  <c r="AA78"/>
  <c r="Z78"/>
  <c r="Y78"/>
  <c r="X78"/>
  <c r="W78"/>
  <c r="V78"/>
  <c r="U78"/>
  <c r="T78"/>
  <c r="K78"/>
  <c r="J78"/>
  <c r="I78"/>
  <c r="H78"/>
  <c r="G78"/>
  <c r="F78"/>
  <c r="E78"/>
  <c r="D78"/>
  <c r="C78"/>
  <c r="B78"/>
  <c r="AW76"/>
  <c r="AV76"/>
  <c r="AU76"/>
  <c r="AT76"/>
  <c r="AS76"/>
  <c r="AR76"/>
  <c r="AQ76"/>
  <c r="AP76"/>
  <c r="AO76"/>
  <c r="AN76"/>
  <c r="AM76"/>
  <c r="AL76"/>
  <c r="AE76"/>
  <c r="AD76"/>
  <c r="AC76"/>
  <c r="AB76"/>
  <c r="AA76"/>
  <c r="Z76"/>
  <c r="Y76"/>
  <c r="X76"/>
  <c r="W76"/>
  <c r="V76"/>
  <c r="U76"/>
  <c r="T76"/>
  <c r="M76"/>
  <c r="L76"/>
  <c r="K76"/>
  <c r="J76"/>
  <c r="I76"/>
  <c r="H76"/>
  <c r="G76"/>
  <c r="F76"/>
  <c r="E76"/>
  <c r="D76"/>
  <c r="C76"/>
  <c r="B76"/>
  <c r="AX74"/>
  <c r="AW74"/>
  <c r="AV74"/>
  <c r="AU74"/>
  <c r="AT74"/>
  <c r="AS74"/>
  <c r="AR74"/>
  <c r="AQ74"/>
  <c r="AP74"/>
  <c r="AO74"/>
  <c r="AN74"/>
  <c r="AM74"/>
  <c r="AL74"/>
  <c r="AF74"/>
  <c r="AE74"/>
  <c r="AD74"/>
  <c r="AC74"/>
  <c r="AB74"/>
  <c r="AA74"/>
  <c r="Z74"/>
  <c r="Y74"/>
  <c r="X74"/>
  <c r="W74"/>
  <c r="V74"/>
  <c r="U74"/>
  <c r="T74"/>
  <c r="K74"/>
  <c r="K88"/>
  <c r="J74"/>
  <c r="I74"/>
  <c r="H74"/>
  <c r="G74"/>
  <c r="F74"/>
  <c r="E74"/>
  <c r="D74"/>
  <c r="C74"/>
  <c r="B74"/>
  <c r="AW72"/>
  <c r="AV72"/>
  <c r="AU72"/>
  <c r="AT72"/>
  <c r="AS72"/>
  <c r="AR72"/>
  <c r="AQ72"/>
  <c r="AP72"/>
  <c r="AO72"/>
  <c r="AN72"/>
  <c r="AM72"/>
  <c r="AL72"/>
  <c r="AE72"/>
  <c r="AD72"/>
  <c r="AC72"/>
  <c r="AB72"/>
  <c r="AA72"/>
  <c r="Z72"/>
  <c r="Y72"/>
  <c r="X72"/>
  <c r="W72"/>
  <c r="V72"/>
  <c r="U72"/>
  <c r="T72"/>
  <c r="M72"/>
  <c r="L72"/>
  <c r="K72"/>
  <c r="J72"/>
  <c r="I72"/>
  <c r="H72"/>
  <c r="G72"/>
  <c r="F72"/>
  <c r="E72"/>
  <c r="D72"/>
  <c r="C72"/>
  <c r="B72"/>
  <c r="AX69"/>
  <c r="AW69"/>
  <c r="AV69"/>
  <c r="AU69"/>
  <c r="AT69"/>
  <c r="AS69"/>
  <c r="AR69"/>
  <c r="AQ69"/>
  <c r="AP69"/>
  <c r="AO69"/>
  <c r="AN69"/>
  <c r="AM69"/>
  <c r="AL69"/>
  <c r="AF69"/>
  <c r="AE69"/>
  <c r="AD69"/>
  <c r="AC69"/>
  <c r="AB69"/>
  <c r="AA69"/>
  <c r="Z69"/>
  <c r="Y69"/>
  <c r="X69"/>
  <c r="W69"/>
  <c r="V69"/>
  <c r="U69"/>
  <c r="T69"/>
  <c r="M69"/>
  <c r="L69"/>
  <c r="I69"/>
  <c r="H69"/>
  <c r="G69"/>
  <c r="F69"/>
  <c r="E69"/>
  <c r="D69"/>
  <c r="C69"/>
  <c r="B69"/>
  <c r="AX66"/>
  <c r="AW66"/>
  <c r="AV66"/>
  <c r="AU66"/>
  <c r="AT66"/>
  <c r="AS66"/>
  <c r="AR66"/>
  <c r="AQ66"/>
  <c r="AP66"/>
  <c r="AO66"/>
  <c r="AN66"/>
  <c r="AM66"/>
  <c r="AL66"/>
  <c r="AF66"/>
  <c r="AE66"/>
  <c r="AD66"/>
  <c r="AC66"/>
  <c r="AB66"/>
  <c r="AA66"/>
  <c r="Z66"/>
  <c r="Y66"/>
  <c r="X66"/>
  <c r="W66"/>
  <c r="V66"/>
  <c r="U66"/>
  <c r="T66"/>
  <c r="K66"/>
  <c r="N66"/>
  <c r="J66"/>
  <c r="I66"/>
  <c r="H66"/>
  <c r="G66"/>
  <c r="F66"/>
  <c r="E66"/>
  <c r="D66"/>
  <c r="C66"/>
  <c r="B66"/>
  <c r="AW64"/>
  <c r="AV64"/>
  <c r="AU64"/>
  <c r="AN64"/>
  <c r="AM64"/>
  <c r="AL64"/>
  <c r="AE64"/>
  <c r="AD64"/>
  <c r="AC64"/>
  <c r="V64"/>
  <c r="U64"/>
  <c r="T64"/>
  <c r="M64"/>
  <c r="L64"/>
  <c r="K64"/>
  <c r="D64"/>
  <c r="C64"/>
  <c r="B64"/>
  <c r="AX62"/>
  <c r="AW62"/>
  <c r="AV62"/>
  <c r="AU62"/>
  <c r="AT62"/>
  <c r="AS62"/>
  <c r="AR62"/>
  <c r="AQ62"/>
  <c r="AP62"/>
  <c r="AO62"/>
  <c r="AN62"/>
  <c r="AM62"/>
  <c r="AL62"/>
  <c r="AF62"/>
  <c r="AE62"/>
  <c r="AD62"/>
  <c r="AC62"/>
  <c r="AB62"/>
  <c r="AA62"/>
  <c r="Z62"/>
  <c r="Y62"/>
  <c r="X62"/>
  <c r="W62"/>
  <c r="V62"/>
  <c r="U62"/>
  <c r="T62"/>
  <c r="K62"/>
  <c r="J62"/>
  <c r="I62"/>
  <c r="H62"/>
  <c r="G62"/>
  <c r="F62"/>
  <c r="E62"/>
  <c r="D62"/>
  <c r="C62"/>
  <c r="B62"/>
  <c r="AX58"/>
  <c r="AW58"/>
  <c r="AV58"/>
  <c r="AU58"/>
  <c r="AT58"/>
  <c r="AS58"/>
  <c r="AR58"/>
  <c r="AQ58"/>
  <c r="AP58"/>
  <c r="AO58"/>
  <c r="AN58"/>
  <c r="AM58"/>
  <c r="AL58"/>
  <c r="AF58"/>
  <c r="AE58"/>
  <c r="AD58"/>
  <c r="AC58"/>
  <c r="AB58"/>
  <c r="AA58"/>
  <c r="Z58"/>
  <c r="Y58"/>
  <c r="X58"/>
  <c r="W58"/>
  <c r="V58"/>
  <c r="U58"/>
  <c r="T58"/>
  <c r="K58"/>
  <c r="K90"/>
  <c r="J58"/>
  <c r="I58"/>
  <c r="H58"/>
  <c r="G58"/>
  <c r="F58"/>
  <c r="E58"/>
  <c r="D58"/>
  <c r="C58"/>
  <c r="B58"/>
  <c r="AX54"/>
  <c r="AT54"/>
  <c r="AS54"/>
  <c r="AR54"/>
  <c r="AQ54"/>
  <c r="AP54"/>
  <c r="AF54"/>
  <c r="AB54"/>
  <c r="AA54"/>
  <c r="Z54"/>
  <c r="Y54"/>
  <c r="X54"/>
  <c r="J54"/>
  <c r="N54"/>
  <c r="I54"/>
  <c r="H54"/>
  <c r="G54"/>
  <c r="F54"/>
  <c r="AZ48"/>
  <c r="AY48"/>
  <c r="AX48"/>
  <c r="AW48"/>
  <c r="AV48"/>
  <c r="AU48"/>
  <c r="AT48"/>
  <c r="AS48"/>
  <c r="AR48"/>
  <c r="AQ48"/>
  <c r="AP48"/>
  <c r="AO48"/>
  <c r="AN48"/>
  <c r="AM48"/>
  <c r="AL48"/>
  <c r="AJ48"/>
  <c r="AI48"/>
  <c r="AH48"/>
  <c r="AG48"/>
  <c r="AF48"/>
  <c r="AE48"/>
  <c r="AD48"/>
  <c r="AC48"/>
  <c r="AB48"/>
  <c r="AA48"/>
  <c r="Z48"/>
  <c r="Y48"/>
  <c r="X48"/>
  <c r="W48"/>
  <c r="V48"/>
  <c r="U48"/>
  <c r="T48"/>
  <c r="P48"/>
  <c r="I48"/>
  <c r="H48"/>
  <c r="G48"/>
  <c r="F48"/>
  <c r="E48"/>
  <c r="D48"/>
  <c r="C48"/>
  <c r="B48"/>
  <c r="BB46"/>
  <c r="BA46"/>
  <c r="AZ46"/>
  <c r="AY46"/>
  <c r="AX46"/>
  <c r="AW46"/>
  <c r="AV46"/>
  <c r="AU46"/>
  <c r="AT46"/>
  <c r="AS46"/>
  <c r="AR46"/>
  <c r="AQ46"/>
  <c r="AP46"/>
  <c r="AO46"/>
  <c r="AN46"/>
  <c r="AM46"/>
  <c r="AL46"/>
  <c r="AJ46"/>
  <c r="AI46"/>
  <c r="AH46"/>
  <c r="AG46"/>
  <c r="AF46"/>
  <c r="AE46"/>
  <c r="AD46"/>
  <c r="AC46"/>
  <c r="AB46"/>
  <c r="AA46"/>
  <c r="Z46"/>
  <c r="Y46"/>
  <c r="X46"/>
  <c r="W46"/>
  <c r="V46"/>
  <c r="U46"/>
  <c r="T46"/>
  <c r="P46"/>
  <c r="K46"/>
  <c r="N46"/>
  <c r="J46"/>
  <c r="I46"/>
  <c r="H46"/>
  <c r="G46"/>
  <c r="F46"/>
  <c r="E46"/>
  <c r="D46"/>
  <c r="C46"/>
  <c r="B46"/>
  <c r="AX44"/>
  <c r="AF44"/>
  <c r="N44"/>
  <c r="AW43"/>
  <c r="AV43"/>
  <c r="AU43"/>
  <c r="AT43"/>
  <c r="AS43"/>
  <c r="AR43"/>
  <c r="AQ43"/>
  <c r="AP43"/>
  <c r="AO43"/>
  <c r="AN43"/>
  <c r="AM43"/>
  <c r="AL43"/>
  <c r="AE43"/>
  <c r="AD43"/>
  <c r="AC43"/>
  <c r="AB43"/>
  <c r="AA43"/>
  <c r="Z43"/>
  <c r="Y43"/>
  <c r="X43"/>
  <c r="W43"/>
  <c r="V43"/>
  <c r="U43"/>
  <c r="T43"/>
  <c r="M43"/>
  <c r="L43"/>
  <c r="K43"/>
  <c r="J43"/>
  <c r="I43"/>
  <c r="H43"/>
  <c r="G43"/>
  <c r="F43"/>
  <c r="E43"/>
  <c r="D43"/>
  <c r="C43"/>
  <c r="B43"/>
  <c r="AX40"/>
  <c r="AF40"/>
  <c r="N40"/>
  <c r="AW39"/>
  <c r="AV39"/>
  <c r="AU39"/>
  <c r="AT39"/>
  <c r="AS39"/>
  <c r="AR39"/>
  <c r="AQ39"/>
  <c r="AP39"/>
  <c r="AO39"/>
  <c r="AN39"/>
  <c r="AM39"/>
  <c r="AL39"/>
  <c r="AE39"/>
  <c r="AD39"/>
  <c r="AC39"/>
  <c r="AB39"/>
  <c r="AA39"/>
  <c r="Z39"/>
  <c r="Y39"/>
  <c r="X39"/>
  <c r="W39"/>
  <c r="V39"/>
  <c r="U39"/>
  <c r="T39"/>
  <c r="M39"/>
  <c r="L39"/>
  <c r="K39"/>
  <c r="J39"/>
  <c r="I39"/>
  <c r="H39"/>
  <c r="G39"/>
  <c r="F39"/>
  <c r="E39"/>
  <c r="D39"/>
  <c r="C39"/>
  <c r="B39"/>
  <c r="BB36"/>
  <c r="BA36"/>
  <c r="AY36"/>
  <c r="AX36"/>
  <c r="AW36"/>
  <c r="AV36"/>
  <c r="AU36"/>
  <c r="AT36"/>
  <c r="AS36"/>
  <c r="AR36"/>
  <c r="AQ36"/>
  <c r="AP36"/>
  <c r="AO36"/>
  <c r="AN36"/>
  <c r="AM36"/>
  <c r="AL36"/>
  <c r="AJ36"/>
  <c r="AI36"/>
  <c r="AG36"/>
  <c r="AF36"/>
  <c r="AE36"/>
  <c r="AD36"/>
  <c r="AC36"/>
  <c r="AB36"/>
  <c r="AA36"/>
  <c r="Z36"/>
  <c r="Y36"/>
  <c r="X36"/>
  <c r="W36"/>
  <c r="V36"/>
  <c r="U36"/>
  <c r="T36"/>
  <c r="AW34"/>
  <c r="AV34"/>
  <c r="AU34"/>
  <c r="AT34"/>
  <c r="AS34"/>
  <c r="AR34"/>
  <c r="AQ34"/>
  <c r="AP34"/>
  <c r="AO34"/>
  <c r="AN34"/>
  <c r="AM34"/>
  <c r="AL34"/>
  <c r="AF34"/>
  <c r="AE34"/>
  <c r="AD34"/>
  <c r="AC34"/>
  <c r="AB34"/>
  <c r="AA34"/>
  <c r="Z34"/>
  <c r="Y34"/>
  <c r="X34"/>
  <c r="W34"/>
  <c r="V34"/>
  <c r="U34"/>
  <c r="T34"/>
  <c r="K34"/>
  <c r="J34"/>
  <c r="N34"/>
  <c r="I34"/>
  <c r="H34"/>
  <c r="G34"/>
  <c r="F34"/>
  <c r="E34"/>
  <c r="D34"/>
  <c r="C34"/>
  <c r="B34"/>
  <c r="AW32"/>
  <c r="AV32"/>
  <c r="AU32"/>
  <c r="AT32"/>
  <c r="AS32"/>
  <c r="AR32"/>
  <c r="AQ32"/>
  <c r="AP32"/>
  <c r="AO32"/>
  <c r="AN32"/>
  <c r="AM32"/>
  <c r="AL32"/>
  <c r="AE32"/>
  <c r="AD32"/>
  <c r="AC32"/>
  <c r="AB32"/>
  <c r="AA32"/>
  <c r="Z32"/>
  <c r="Y32"/>
  <c r="X32"/>
  <c r="W32"/>
  <c r="V32"/>
  <c r="U32"/>
  <c r="T32"/>
  <c r="M32"/>
  <c r="L32"/>
  <c r="K32"/>
  <c r="J32"/>
  <c r="I32"/>
  <c r="H32"/>
  <c r="G32"/>
  <c r="F32"/>
  <c r="E32"/>
  <c r="D32"/>
  <c r="C32"/>
  <c r="B32"/>
  <c r="AX30"/>
  <c r="AW30"/>
  <c r="AV30"/>
  <c r="AU30"/>
  <c r="AT30"/>
  <c r="AS30"/>
  <c r="AR30"/>
  <c r="AQ30"/>
  <c r="AP30"/>
  <c r="AO30"/>
  <c r="AN30"/>
  <c r="AM30"/>
  <c r="AL30"/>
  <c r="AF30"/>
  <c r="AE30"/>
  <c r="AD30"/>
  <c r="AC30"/>
  <c r="AB30"/>
  <c r="AA30"/>
  <c r="Z30"/>
  <c r="Y30"/>
  <c r="X30"/>
  <c r="W30"/>
  <c r="V30"/>
  <c r="U30"/>
  <c r="T30"/>
  <c r="K30"/>
  <c r="K111"/>
  <c r="J30"/>
  <c r="J111"/>
  <c r="I30"/>
  <c r="H30"/>
  <c r="G30"/>
  <c r="F30"/>
  <c r="E30"/>
  <c r="D30"/>
  <c r="C30"/>
  <c r="B30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J26"/>
  <c r="AI26"/>
  <c r="AH26"/>
  <c r="AG26"/>
  <c r="AF26"/>
  <c r="AE26"/>
  <c r="AD26"/>
  <c r="AC26"/>
  <c r="AB26"/>
  <c r="AA26"/>
  <c r="Z26"/>
  <c r="Y26"/>
  <c r="X26"/>
  <c r="W26"/>
  <c r="V26"/>
  <c r="U26"/>
  <c r="T26"/>
  <c r="P26"/>
  <c r="F26"/>
  <c r="E26"/>
  <c r="D26"/>
  <c r="C26"/>
  <c r="B26"/>
  <c r="AX24"/>
  <c r="AW24"/>
  <c r="AV24"/>
  <c r="AU24"/>
  <c r="AT24"/>
  <c r="AS24"/>
  <c r="AR24"/>
  <c r="AQ24"/>
  <c r="AP24"/>
  <c r="AO24"/>
  <c r="AN24"/>
  <c r="AM24"/>
  <c r="AL24"/>
  <c r="AF24"/>
  <c r="AE24"/>
  <c r="AD24"/>
  <c r="AC24"/>
  <c r="AB24"/>
  <c r="AA24"/>
  <c r="Z24"/>
  <c r="Y24"/>
  <c r="X24"/>
  <c r="W24"/>
  <c r="V24"/>
  <c r="U24"/>
  <c r="T24"/>
  <c r="K24"/>
  <c r="K114"/>
  <c r="J24"/>
  <c r="J114"/>
  <c r="I24"/>
  <c r="H24"/>
  <c r="G24"/>
  <c r="F24"/>
  <c r="E24"/>
  <c r="D24"/>
  <c r="C24"/>
  <c r="B24"/>
  <c r="AX22"/>
  <c r="AF22"/>
  <c r="N22"/>
  <c r="AX21"/>
  <c r="AW21"/>
  <c r="AV21"/>
  <c r="AU21"/>
  <c r="AT21"/>
  <c r="AS21"/>
  <c r="AR21"/>
  <c r="AQ21"/>
  <c r="AP21"/>
  <c r="AO21"/>
  <c r="AN21"/>
  <c r="AM21"/>
  <c r="AL21"/>
  <c r="AF21"/>
  <c r="AE21"/>
  <c r="AD21"/>
  <c r="AC21"/>
  <c r="AB21"/>
  <c r="AA21"/>
  <c r="Z21"/>
  <c r="Y21"/>
  <c r="X21"/>
  <c r="W21"/>
  <c r="V21"/>
  <c r="U21"/>
  <c r="T21"/>
  <c r="M21"/>
  <c r="L21"/>
  <c r="K21"/>
  <c r="J21"/>
  <c r="I21"/>
  <c r="H21"/>
  <c r="G21"/>
  <c r="F21"/>
  <c r="E21"/>
  <c r="D21"/>
  <c r="C21"/>
  <c r="B21"/>
  <c r="AP19"/>
  <c r="AO19"/>
  <c r="AN19"/>
  <c r="AM19"/>
  <c r="AL19"/>
  <c r="X19"/>
  <c r="W19"/>
  <c r="V19"/>
  <c r="U19"/>
  <c r="T19"/>
  <c r="F19"/>
  <c r="E19"/>
  <c r="D19"/>
  <c r="C19"/>
  <c r="B19"/>
  <c r="AX17"/>
  <c r="AF17"/>
  <c r="N17"/>
  <c r="AW16"/>
  <c r="AV16"/>
  <c r="AU16"/>
  <c r="AT16"/>
  <c r="AS16"/>
  <c r="AR16"/>
  <c r="AQ16"/>
  <c r="AP16"/>
  <c r="AO16"/>
  <c r="AN16"/>
  <c r="AM16"/>
  <c r="AL16"/>
  <c r="AE16"/>
  <c r="AD16"/>
  <c r="AC16"/>
  <c r="AB16"/>
  <c r="AA16"/>
  <c r="Z16"/>
  <c r="Y16"/>
  <c r="X16"/>
  <c r="W16"/>
  <c r="V16"/>
  <c r="U16"/>
  <c r="T16"/>
  <c r="M16"/>
  <c r="L16"/>
  <c r="K16"/>
  <c r="J16"/>
  <c r="I16"/>
  <c r="H16"/>
  <c r="G16"/>
  <c r="F16"/>
  <c r="E16"/>
  <c r="D16"/>
  <c r="C16"/>
  <c r="B16"/>
  <c r="AX11"/>
  <c r="AW11"/>
  <c r="AV11"/>
  <c r="AU11"/>
  <c r="AT11"/>
  <c r="AS11"/>
  <c r="AR11"/>
  <c r="AQ11"/>
  <c r="AP11"/>
  <c r="AO11"/>
  <c r="AN11"/>
  <c r="AM11"/>
  <c r="AL11"/>
  <c r="AF11"/>
  <c r="AE11"/>
  <c r="AD11"/>
  <c r="AC11"/>
  <c r="AB11"/>
  <c r="AA11"/>
  <c r="Z11"/>
  <c r="Y11"/>
  <c r="X11"/>
  <c r="W11"/>
  <c r="V11"/>
  <c r="U11"/>
  <c r="T11"/>
  <c r="K11"/>
  <c r="J11"/>
  <c r="N11"/>
  <c r="I11"/>
  <c r="H11"/>
  <c r="G11"/>
  <c r="F11"/>
  <c r="E11"/>
  <c r="D11"/>
  <c r="C11"/>
  <c r="B11"/>
  <c r="AX7"/>
  <c r="AW7"/>
  <c r="AV7"/>
  <c r="AU7"/>
  <c r="AT7"/>
  <c r="AS7"/>
  <c r="AR7"/>
  <c r="AQ7"/>
  <c r="AP7"/>
  <c r="AO7"/>
  <c r="AN7"/>
  <c r="AM7"/>
  <c r="AL7"/>
  <c r="AF7"/>
  <c r="AE7"/>
  <c r="AD7"/>
  <c r="AC7"/>
  <c r="AB7"/>
  <c r="AA7"/>
  <c r="Z7"/>
  <c r="Y7"/>
  <c r="X7"/>
  <c r="W7"/>
  <c r="V7"/>
  <c r="U7"/>
  <c r="T7"/>
  <c r="K7"/>
  <c r="K112"/>
  <c r="J7"/>
  <c r="I7"/>
  <c r="H7"/>
  <c r="G7"/>
  <c r="F7"/>
  <c r="E7"/>
  <c r="D7"/>
  <c r="C7"/>
  <c r="B7"/>
  <c r="AW5"/>
  <c r="AV5"/>
  <c r="AU5"/>
  <c r="AT5"/>
  <c r="AS5"/>
  <c r="AR5"/>
  <c r="AQ5"/>
  <c r="AP5"/>
  <c r="AO5"/>
  <c r="AN5"/>
  <c r="AM5"/>
  <c r="AL5"/>
  <c r="AE5"/>
  <c r="AD5"/>
  <c r="AC5"/>
  <c r="AB5"/>
  <c r="AA5"/>
  <c r="Z5"/>
  <c r="Y5"/>
  <c r="X5"/>
  <c r="W5"/>
  <c r="V5"/>
  <c r="U5"/>
  <c r="T5"/>
  <c r="M5"/>
  <c r="L5"/>
  <c r="K5"/>
  <c r="J5"/>
  <c r="I5"/>
  <c r="H5"/>
  <c r="G5"/>
  <c r="F5"/>
  <c r="E5"/>
  <c r="D5"/>
  <c r="C5"/>
  <c r="B5"/>
  <c r="J68" i="26"/>
  <c r="I68"/>
  <c r="H68"/>
  <c r="G68"/>
  <c r="F68"/>
  <c r="E68"/>
  <c r="D68"/>
  <c r="K67"/>
  <c r="J67"/>
  <c r="I67"/>
  <c r="H67"/>
  <c r="G67"/>
  <c r="F67"/>
  <c r="E67"/>
  <c r="D67"/>
  <c r="J66"/>
  <c r="I66"/>
  <c r="H66"/>
  <c r="G66"/>
  <c r="F66"/>
  <c r="E66"/>
  <c r="D66"/>
  <c r="J64"/>
  <c r="I64"/>
  <c r="H64"/>
  <c r="G64"/>
  <c r="N21" i="2"/>
  <c r="N114"/>
  <c r="AG114"/>
  <c r="N113"/>
  <c r="AG113"/>
  <c r="J69"/>
  <c r="N62"/>
  <c r="J90"/>
  <c r="N78"/>
  <c r="J88"/>
  <c r="N86"/>
  <c r="J110"/>
  <c r="J117"/>
  <c r="N103"/>
  <c r="O46"/>
  <c r="K110"/>
  <c r="N111"/>
  <c r="AG111"/>
  <c r="N30"/>
  <c r="K36"/>
  <c r="J36"/>
  <c r="N24"/>
  <c r="J112"/>
  <c r="J118"/>
  <c r="K117"/>
  <c r="K92"/>
  <c r="N82"/>
  <c r="O78"/>
  <c r="N74"/>
  <c r="N88"/>
  <c r="N90"/>
  <c r="K94"/>
  <c r="N58"/>
  <c r="K69"/>
  <c r="K118"/>
  <c r="K115"/>
  <c r="N7"/>
  <c r="K26"/>
  <c r="F64" i="26"/>
  <c r="E64"/>
  <c r="D64"/>
  <c r="P63"/>
  <c r="L63"/>
  <c r="K63"/>
  <c r="J63"/>
  <c r="I63"/>
  <c r="H63"/>
  <c r="G63"/>
  <c r="F63"/>
  <c r="E63"/>
  <c r="D63"/>
  <c r="L62"/>
  <c r="L64"/>
  <c r="K62"/>
  <c r="K64"/>
  <c r="J62"/>
  <c r="I62"/>
  <c r="H62"/>
  <c r="G62"/>
  <c r="F62"/>
  <c r="E62"/>
  <c r="D62"/>
  <c r="P59"/>
  <c r="K59"/>
  <c r="N69" i="2"/>
  <c r="N112"/>
  <c r="AG112"/>
  <c r="J115"/>
  <c r="I115"/>
  <c r="N110"/>
  <c r="AG110"/>
  <c r="I36"/>
  <c r="H36"/>
  <c r="G36"/>
  <c r="F36"/>
  <c r="E36"/>
  <c r="D36"/>
  <c r="C36"/>
  <c r="B36"/>
  <c r="AX34"/>
  <c r="N36"/>
  <c r="N115"/>
  <c r="AG115"/>
  <c r="P62" i="26"/>
  <c r="P64"/>
  <c r="J92" i="2"/>
  <c r="J94"/>
  <c r="N94"/>
  <c r="N118"/>
  <c r="J26"/>
  <c r="N26"/>
  <c r="O26"/>
  <c r="K48"/>
  <c r="I59" i="26"/>
  <c r="E59"/>
  <c r="D59"/>
  <c r="P57"/>
  <c r="I54"/>
  <c r="H54"/>
  <c r="G54"/>
  <c r="F54"/>
  <c r="E54"/>
  <c r="D54"/>
  <c r="P53"/>
  <c r="K53"/>
  <c r="J53"/>
  <c r="I53"/>
  <c r="H53"/>
  <c r="N92" i="2"/>
  <c r="N117"/>
  <c r="O94"/>
  <c r="I26"/>
  <c r="H26"/>
  <c r="G26"/>
  <c r="J48"/>
  <c r="G53" i="26"/>
  <c r="F53"/>
  <c r="E53"/>
  <c r="D53"/>
  <c r="P52"/>
  <c r="P54"/>
  <c r="K54"/>
  <c r="J54"/>
  <c r="K52"/>
  <c r="J52"/>
  <c r="I52"/>
  <c r="H52"/>
  <c r="G52"/>
  <c r="F52"/>
  <c r="E52"/>
  <c r="D52"/>
  <c r="P50"/>
  <c r="K50"/>
  <c r="J50"/>
  <c r="I50"/>
  <c r="H50"/>
  <c r="G50"/>
  <c r="D50"/>
  <c r="P48"/>
  <c r="P46"/>
  <c r="K46"/>
  <c r="J46"/>
  <c r="I46"/>
  <c r="H46"/>
  <c r="G46"/>
  <c r="F46"/>
  <c r="E46"/>
  <c r="D46"/>
  <c r="P44"/>
  <c r="P42"/>
  <c r="K42"/>
  <c r="J42"/>
  <c r="I42"/>
  <c r="H42"/>
  <c r="G42"/>
  <c r="D42"/>
  <c r="P40"/>
  <c r="P38"/>
  <c r="K38"/>
  <c r="J38"/>
  <c r="I38"/>
  <c r="H38"/>
  <c r="G38"/>
  <c r="F38"/>
  <c r="E38"/>
  <c r="D38"/>
  <c r="P36"/>
  <c r="P34"/>
  <c r="K34"/>
  <c r="J34"/>
  <c r="I34"/>
  <c r="H34"/>
  <c r="G34"/>
  <c r="F34"/>
  <c r="E34"/>
  <c r="D34"/>
  <c r="P32"/>
  <c r="P30"/>
  <c r="K30"/>
  <c r="J30"/>
  <c r="I30"/>
  <c r="H30"/>
  <c r="G30"/>
  <c r="F30"/>
  <c r="E30"/>
  <c r="D30"/>
  <c r="P28"/>
  <c r="K25"/>
  <c r="J25"/>
  <c r="I25"/>
  <c r="H25"/>
  <c r="G25"/>
  <c r="F25"/>
  <c r="E25"/>
  <c r="D25"/>
  <c r="L24"/>
  <c r="L67"/>
  <c r="P67"/>
  <c r="K24"/>
  <c r="J24"/>
  <c r="I24"/>
  <c r="H24"/>
  <c r="G24"/>
  <c r="F24"/>
  <c r="E24"/>
  <c r="D24"/>
  <c r="L23"/>
  <c r="L66"/>
  <c r="K23"/>
  <c r="J23"/>
  <c r="I23"/>
  <c r="H23"/>
  <c r="G23"/>
  <c r="F23"/>
  <c r="E23"/>
  <c r="D23"/>
  <c r="P21"/>
  <c r="K21"/>
  <c r="J21"/>
  <c r="I21"/>
  <c r="H21"/>
  <c r="G21"/>
  <c r="F21"/>
  <c r="E21"/>
  <c r="D21"/>
  <c r="P19"/>
  <c r="P17"/>
  <c r="K16"/>
  <c r="J16"/>
  <c r="N48" i="2"/>
  <c r="O48"/>
  <c r="P49" i="26"/>
  <c r="P41"/>
  <c r="P45"/>
  <c r="P37"/>
  <c r="P33"/>
  <c r="P29"/>
  <c r="P24"/>
  <c r="P23"/>
  <c r="L25"/>
  <c r="K66"/>
  <c r="K68"/>
  <c r="L68"/>
  <c r="I16"/>
  <c r="P15"/>
  <c r="P16"/>
  <c r="P13"/>
  <c r="H12"/>
  <c r="P25"/>
  <c r="G12"/>
  <c r="F12"/>
  <c r="E12"/>
  <c r="D12"/>
  <c r="P11"/>
  <c r="P12"/>
  <c r="K8"/>
  <c r="J8"/>
  <c r="I8"/>
  <c r="H8"/>
  <c r="P5"/>
  <c r="K4"/>
  <c r="J4"/>
  <c r="I4"/>
  <c r="H4"/>
  <c r="G4"/>
  <c r="F4"/>
  <c r="P3"/>
  <c r="J157" i="3"/>
  <c r="I157"/>
  <c r="H157"/>
  <c r="G157"/>
  <c r="J155"/>
  <c r="I155"/>
  <c r="H155"/>
  <c r="K154"/>
  <c r="O154"/>
  <c r="J154"/>
  <c r="I154"/>
  <c r="H154"/>
  <c r="G154"/>
  <c r="J94"/>
  <c r="J112"/>
  <c r="J153"/>
  <c r="I94"/>
  <c r="I112"/>
  <c r="I153"/>
  <c r="H94"/>
  <c r="H112"/>
  <c r="H153"/>
  <c r="L142"/>
  <c r="L138"/>
  <c r="K138"/>
  <c r="J138"/>
  <c r="I138"/>
  <c r="H138"/>
  <c r="G138"/>
  <c r="F138"/>
  <c r="E138"/>
  <c r="D138"/>
  <c r="C138"/>
  <c r="O137"/>
  <c r="O136"/>
  <c r="E95"/>
  <c r="E113"/>
  <c r="O133"/>
  <c r="F131"/>
  <c r="E131"/>
  <c r="D131"/>
  <c r="C131"/>
  <c r="J130"/>
  <c r="I130"/>
  <c r="H130"/>
  <c r="G130"/>
  <c r="F130"/>
  <c r="E130"/>
  <c r="D130"/>
  <c r="C130"/>
  <c r="J129"/>
  <c r="I129"/>
  <c r="H129"/>
  <c r="F129"/>
  <c r="E129"/>
  <c r="D129"/>
  <c r="C129"/>
  <c r="J128"/>
  <c r="I128"/>
  <c r="H128"/>
  <c r="G128"/>
  <c r="F128"/>
  <c r="E128"/>
  <c r="D128"/>
  <c r="C128"/>
  <c r="I124"/>
  <c r="I125"/>
  <c r="I126"/>
  <c r="I127"/>
  <c r="H124"/>
  <c r="H125"/>
  <c r="H126"/>
  <c r="H127"/>
  <c r="F127"/>
  <c r="E127"/>
  <c r="D127"/>
  <c r="C127"/>
  <c r="J126"/>
  <c r="F126"/>
  <c r="E126"/>
  <c r="D126"/>
  <c r="C126"/>
  <c r="J125"/>
  <c r="F125"/>
  <c r="E125"/>
  <c r="D125"/>
  <c r="C125"/>
  <c r="J124"/>
  <c r="F124"/>
  <c r="E124"/>
  <c r="D124"/>
  <c r="C124"/>
  <c r="J120"/>
  <c r="J122"/>
  <c r="I120"/>
  <c r="I122"/>
  <c r="H120"/>
  <c r="H122"/>
  <c r="F122"/>
  <c r="E122"/>
  <c r="D122"/>
  <c r="C122"/>
  <c r="O121"/>
  <c r="L121"/>
  <c r="K121"/>
  <c r="J121"/>
  <c r="I121"/>
  <c r="H121"/>
  <c r="G121"/>
  <c r="F121"/>
  <c r="E121"/>
  <c r="D121"/>
  <c r="C121"/>
  <c r="F120"/>
  <c r="E120"/>
  <c r="D120"/>
  <c r="C120"/>
  <c r="L119"/>
  <c r="K119"/>
  <c r="J119"/>
  <c r="I119"/>
  <c r="H119"/>
  <c r="G119"/>
  <c r="F119"/>
  <c r="E119"/>
  <c r="D119"/>
  <c r="C119"/>
  <c r="C95"/>
  <c r="C113"/>
  <c r="C116"/>
  <c r="D95"/>
  <c r="D113"/>
  <c r="D116"/>
  <c r="D117"/>
  <c r="C117"/>
  <c r="F116"/>
  <c r="E116"/>
  <c r="J115"/>
  <c r="I115"/>
  <c r="H115"/>
  <c r="F115"/>
  <c r="E115"/>
  <c r="D115"/>
  <c r="C115"/>
  <c r="E114"/>
  <c r="D114"/>
  <c r="C114"/>
  <c r="F113"/>
  <c r="F112"/>
  <c r="E112"/>
  <c r="D112"/>
  <c r="C112"/>
  <c r="F110"/>
  <c r="J109"/>
  <c r="I109"/>
  <c r="H109"/>
  <c r="F109"/>
  <c r="H108"/>
  <c r="G108"/>
  <c r="F108"/>
  <c r="K107"/>
  <c r="O107"/>
  <c r="J107"/>
  <c r="I107"/>
  <c r="H107"/>
  <c r="G107"/>
  <c r="F107"/>
  <c r="G106"/>
  <c r="F106"/>
  <c r="L105"/>
  <c r="J105"/>
  <c r="I105"/>
  <c r="H105"/>
  <c r="G105"/>
  <c r="F105"/>
  <c r="J104"/>
  <c r="I104"/>
  <c r="H104"/>
  <c r="G104"/>
  <c r="F104"/>
  <c r="L103"/>
  <c r="K103"/>
  <c r="J103"/>
  <c r="I103"/>
  <c r="H103"/>
  <c r="G103"/>
  <c r="F103"/>
  <c r="L102"/>
  <c r="K102"/>
  <c r="K157"/>
  <c r="O157"/>
  <c r="J102"/>
  <c r="I102"/>
  <c r="H102"/>
  <c r="G102"/>
  <c r="F102"/>
  <c r="J101"/>
  <c r="I101"/>
  <c r="H101"/>
  <c r="F101"/>
  <c r="E101"/>
  <c r="D101"/>
  <c r="C101"/>
  <c r="J100"/>
  <c r="I100"/>
  <c r="H100"/>
  <c r="D100"/>
  <c r="C100"/>
  <c r="L99"/>
  <c r="K99"/>
  <c r="J99"/>
  <c r="I99"/>
  <c r="H99"/>
  <c r="G99"/>
  <c r="F99"/>
  <c r="E99"/>
  <c r="D99"/>
  <c r="C99"/>
  <c r="L98"/>
  <c r="L100"/>
  <c r="K98"/>
  <c r="K155"/>
  <c r="J98"/>
  <c r="I98"/>
  <c r="H98"/>
  <c r="G98"/>
  <c r="G155"/>
  <c r="F98"/>
  <c r="E98"/>
  <c r="D98"/>
  <c r="C98"/>
  <c r="I97"/>
  <c r="H97"/>
  <c r="F97"/>
  <c r="E97"/>
  <c r="D97"/>
  <c r="C97"/>
  <c r="F96"/>
  <c r="E96"/>
  <c r="D96"/>
  <c r="C96"/>
  <c r="L95"/>
  <c r="L113"/>
  <c r="L116"/>
  <c r="J95"/>
  <c r="J113"/>
  <c r="I95"/>
  <c r="I113"/>
  <c r="H95"/>
  <c r="H113"/>
  <c r="H114"/>
  <c r="G95"/>
  <c r="G113"/>
  <c r="F95"/>
  <c r="L94"/>
  <c r="K94"/>
  <c r="G94"/>
  <c r="F94"/>
  <c r="E94"/>
  <c r="D94"/>
  <c r="C94"/>
  <c r="F90"/>
  <c r="F88"/>
  <c r="E88"/>
  <c r="D88"/>
  <c r="C88"/>
  <c r="J87"/>
  <c r="I87"/>
  <c r="H87"/>
  <c r="G87"/>
  <c r="F87"/>
  <c r="E87"/>
  <c r="D87"/>
  <c r="C87"/>
  <c r="L86"/>
  <c r="O86"/>
  <c r="G86"/>
  <c r="F86"/>
  <c r="E86"/>
  <c r="D86"/>
  <c r="C86"/>
  <c r="L85"/>
  <c r="L130"/>
  <c r="K130"/>
  <c r="G85"/>
  <c r="F85"/>
  <c r="E85"/>
  <c r="D85"/>
  <c r="C85"/>
  <c r="O84"/>
  <c r="O82"/>
  <c r="O83"/>
  <c r="O81"/>
  <c r="O80"/>
  <c r="O79"/>
  <c r="O75"/>
  <c r="P4" i="26"/>
  <c r="O138" i="3"/>
  <c r="L87"/>
  <c r="O119"/>
  <c r="L112"/>
  <c r="L126"/>
  <c r="L96"/>
  <c r="O99"/>
  <c r="O155"/>
  <c r="G100"/>
  <c r="F100"/>
  <c r="E100"/>
  <c r="G112"/>
  <c r="K87"/>
  <c r="O85"/>
  <c r="K113"/>
  <c r="O113"/>
  <c r="O98"/>
  <c r="K100"/>
  <c r="K104"/>
  <c r="K108"/>
  <c r="J108"/>
  <c r="I108"/>
  <c r="K112"/>
  <c r="O112"/>
  <c r="J116"/>
  <c r="J114"/>
  <c r="J96"/>
  <c r="I116"/>
  <c r="I114"/>
  <c r="I96"/>
  <c r="I110"/>
  <c r="H96"/>
  <c r="H110"/>
  <c r="H116"/>
  <c r="G114"/>
  <c r="F114"/>
  <c r="G116"/>
  <c r="G96"/>
  <c r="G110"/>
  <c r="K116"/>
  <c r="O95"/>
  <c r="O94"/>
  <c r="J110"/>
  <c r="G75"/>
  <c r="F75"/>
  <c r="E75"/>
  <c r="D75"/>
  <c r="C75"/>
  <c r="G74"/>
  <c r="O73"/>
  <c r="O74"/>
  <c r="G73"/>
  <c r="J72"/>
  <c r="I72"/>
  <c r="H72"/>
  <c r="G72"/>
  <c r="F72"/>
  <c r="E72"/>
  <c r="D72"/>
  <c r="C72"/>
  <c r="O69"/>
  <c r="J69"/>
  <c r="I69"/>
  <c r="H69"/>
  <c r="G69"/>
  <c r="F69"/>
  <c r="E69"/>
  <c r="D69"/>
  <c r="C69"/>
  <c r="O67"/>
  <c r="I65"/>
  <c r="H65"/>
  <c r="E62"/>
  <c r="K61"/>
  <c r="O61"/>
  <c r="J61"/>
  <c r="I61"/>
  <c r="H61"/>
  <c r="G61"/>
  <c r="F61"/>
  <c r="E61"/>
  <c r="D61"/>
  <c r="C61"/>
  <c r="K60"/>
  <c r="K105"/>
  <c r="K106"/>
  <c r="J106"/>
  <c r="I106"/>
  <c r="H106"/>
  <c r="J60"/>
  <c r="I60"/>
  <c r="H60"/>
  <c r="G60"/>
  <c r="F60"/>
  <c r="E60"/>
  <c r="D60"/>
  <c r="C60"/>
  <c r="F59"/>
  <c r="E59"/>
  <c r="D59"/>
  <c r="C59"/>
  <c r="J58"/>
  <c r="J59"/>
  <c r="I58"/>
  <c r="H58"/>
  <c r="H91"/>
  <c r="G58"/>
  <c r="G89"/>
  <c r="F58"/>
  <c r="L57"/>
  <c r="J57"/>
  <c r="I57"/>
  <c r="H57"/>
  <c r="G57"/>
  <c r="F57"/>
  <c r="E57"/>
  <c r="D57"/>
  <c r="C57"/>
  <c r="O50"/>
  <c r="O49"/>
  <c r="O48"/>
  <c r="O47"/>
  <c r="O45"/>
  <c r="O46"/>
  <c r="O44"/>
  <c r="O42"/>
  <c r="O43"/>
  <c r="L97"/>
  <c r="L109"/>
  <c r="L101"/>
  <c r="L114"/>
  <c r="L115"/>
  <c r="L117"/>
  <c r="L88"/>
  <c r="L91"/>
  <c r="L92"/>
  <c r="L129"/>
  <c r="L120"/>
  <c r="L122"/>
  <c r="L59"/>
  <c r="L125"/>
  <c r="P94"/>
  <c r="P98"/>
  <c r="O33"/>
  <c r="O102"/>
  <c r="P102"/>
  <c r="O100"/>
  <c r="G125"/>
  <c r="G120"/>
  <c r="G122"/>
  <c r="G88"/>
  <c r="G65"/>
  <c r="F65"/>
  <c r="G129"/>
  <c r="G131"/>
  <c r="G115"/>
  <c r="G153"/>
  <c r="G158"/>
  <c r="G126"/>
  <c r="G124"/>
  <c r="G109"/>
  <c r="G97"/>
  <c r="G101"/>
  <c r="O68"/>
  <c r="O130"/>
  <c r="O87"/>
  <c r="K153"/>
  <c r="O153"/>
  <c r="K126"/>
  <c r="K97"/>
  <c r="J97"/>
  <c r="K114"/>
  <c r="K109"/>
  <c r="O114"/>
  <c r="O60"/>
  <c r="K115"/>
  <c r="K117"/>
  <c r="J117"/>
  <c r="I117"/>
  <c r="H117"/>
  <c r="G117"/>
  <c r="F117"/>
  <c r="E117"/>
  <c r="K101"/>
  <c r="I59"/>
  <c r="H59"/>
  <c r="F89"/>
  <c r="G90"/>
  <c r="G91"/>
  <c r="F91"/>
  <c r="E91"/>
  <c r="D91"/>
  <c r="C91"/>
  <c r="G59"/>
  <c r="K91"/>
  <c r="K92"/>
  <c r="O58"/>
  <c r="O89"/>
  <c r="J91"/>
  <c r="I91"/>
  <c r="K125"/>
  <c r="K129"/>
  <c r="K120"/>
  <c r="O57"/>
  <c r="K59"/>
  <c r="O65"/>
  <c r="K65"/>
  <c r="J65"/>
  <c r="O158"/>
  <c r="K158"/>
  <c r="J158"/>
  <c r="I158"/>
  <c r="H158"/>
  <c r="Q155"/>
  <c r="Q154"/>
  <c r="O97"/>
  <c r="O96"/>
  <c r="O125"/>
  <c r="O101"/>
  <c r="O126"/>
  <c r="O38"/>
  <c r="J38"/>
  <c r="G127"/>
  <c r="J92"/>
  <c r="I92"/>
  <c r="H92"/>
  <c r="G92"/>
  <c r="F92"/>
  <c r="E92"/>
  <c r="D92"/>
  <c r="C92"/>
  <c r="O120"/>
  <c r="K122"/>
  <c r="O122"/>
  <c r="O88"/>
  <c r="O90"/>
  <c r="O91"/>
  <c r="O92"/>
  <c r="O129"/>
  <c r="O59"/>
  <c r="I38"/>
  <c r="H38"/>
  <c r="F38"/>
  <c r="E38"/>
  <c r="D38"/>
  <c r="P120"/>
  <c r="P121"/>
  <c r="P119"/>
  <c r="C38"/>
  <c r="J37"/>
  <c r="I37"/>
  <c r="H37"/>
  <c r="G37"/>
  <c r="F37"/>
  <c r="E37"/>
  <c r="D37"/>
  <c r="C37"/>
  <c r="O36"/>
  <c r="O37"/>
  <c r="J36"/>
  <c r="I36"/>
  <c r="H36"/>
  <c r="O35"/>
  <c r="J34"/>
  <c r="I34"/>
  <c r="H34"/>
  <c r="G34"/>
  <c r="F34"/>
  <c r="E34"/>
  <c r="O109"/>
  <c r="O32"/>
  <c r="O34"/>
  <c r="F32"/>
  <c r="E32"/>
  <c r="D32"/>
  <c r="C32"/>
  <c r="J31"/>
  <c r="I31"/>
  <c r="H31"/>
  <c r="G31"/>
  <c r="F31"/>
  <c r="E31"/>
  <c r="D31"/>
  <c r="C31"/>
  <c r="O30"/>
  <c r="O31"/>
  <c r="J30"/>
  <c r="I30"/>
  <c r="H30"/>
  <c r="G30"/>
  <c r="F30"/>
  <c r="E30"/>
  <c r="D30"/>
  <c r="C30"/>
  <c r="J28"/>
  <c r="I28"/>
  <c r="H28"/>
  <c r="O27"/>
  <c r="O2"/>
  <c r="O4"/>
  <c r="O3"/>
  <c r="O24"/>
  <c r="O23"/>
  <c r="O25"/>
  <c r="O26"/>
  <c r="L24"/>
  <c r="K24"/>
  <c r="J24"/>
  <c r="I24"/>
  <c r="H24"/>
  <c r="L23"/>
  <c r="K23"/>
  <c r="J23"/>
  <c r="I23"/>
  <c r="H23"/>
  <c r="J22"/>
  <c r="I22"/>
  <c r="H22"/>
  <c r="G22"/>
  <c r="F22"/>
  <c r="E22"/>
  <c r="D22"/>
  <c r="C22"/>
  <c r="L21"/>
  <c r="K21"/>
  <c r="J21"/>
  <c r="I21"/>
  <c r="H21"/>
  <c r="G21"/>
  <c r="F21"/>
  <c r="E21"/>
  <c r="D21"/>
  <c r="C21"/>
  <c r="L20"/>
  <c r="K20"/>
  <c r="J20"/>
  <c r="I20"/>
  <c r="H20"/>
  <c r="G20"/>
  <c r="F20"/>
  <c r="E20"/>
  <c r="D20"/>
  <c r="C20"/>
  <c r="O19"/>
  <c r="O21"/>
  <c r="L128"/>
  <c r="L131"/>
  <c r="L124"/>
  <c r="L127"/>
  <c r="L22"/>
  <c r="K128"/>
  <c r="K131"/>
  <c r="J131"/>
  <c r="I131"/>
  <c r="H131"/>
  <c r="K124"/>
  <c r="K127"/>
  <c r="J127"/>
  <c r="O20"/>
  <c r="K22"/>
  <c r="O28"/>
  <c r="J19"/>
  <c r="I19"/>
  <c r="H19"/>
  <c r="O128"/>
  <c r="O124"/>
  <c r="O127"/>
  <c r="O22"/>
  <c r="G19"/>
  <c r="F19"/>
  <c r="E19"/>
  <c r="D19"/>
  <c r="C19"/>
  <c r="O17"/>
  <c r="O18"/>
  <c r="O16"/>
  <c r="J16"/>
  <c r="I16"/>
  <c r="H16"/>
  <c r="G16"/>
  <c r="F16"/>
  <c r="E16"/>
  <c r="D16"/>
  <c r="C16"/>
  <c r="O14"/>
  <c r="D14"/>
  <c r="O13"/>
  <c r="O12"/>
  <c r="O11"/>
  <c r="O10"/>
  <c r="O9"/>
  <c r="O8"/>
  <c r="O7"/>
  <c r="O6"/>
  <c r="O5"/>
  <c r="I3"/>
  <c r="F3"/>
  <c r="E3"/>
  <c r="D3"/>
  <c r="C3"/>
  <c r="O15"/>
  <c r="AM12" i="36"/>
  <c r="AL12"/>
  <c r="AK12"/>
  <c r="AJ12"/>
  <c r="AD12"/>
  <c r="AC12"/>
  <c r="AB12"/>
  <c r="AA12"/>
  <c r="Z12"/>
  <c r="Y12"/>
  <c r="X12"/>
  <c r="R12"/>
  <c r="Q12"/>
  <c r="P12"/>
  <c r="O12"/>
  <c r="N12"/>
  <c r="M12"/>
  <c r="E12"/>
  <c r="D12"/>
  <c r="C12"/>
  <c r="F10"/>
  <c r="E10"/>
  <c r="D10"/>
  <c r="C10"/>
  <c r="AI7"/>
  <c r="AH7"/>
  <c r="AG7"/>
  <c r="AF7"/>
  <c r="AE7"/>
  <c r="W7"/>
  <c r="V7"/>
  <c r="U7"/>
  <c r="T7"/>
  <c r="S7"/>
  <c r="AI4"/>
  <c r="AH4"/>
  <c r="AG4"/>
  <c r="AF4"/>
  <c r="AE4"/>
  <c r="W4"/>
  <c r="V4"/>
  <c r="U4"/>
  <c r="T4"/>
  <c r="S4"/>
  <c r="K4"/>
  <c r="J4"/>
  <c r="I4"/>
  <c r="H4"/>
  <c r="G4"/>
  <c r="L30" i="35"/>
  <c r="K30"/>
  <c r="J30"/>
  <c r="I30"/>
  <c r="H30"/>
  <c r="G30"/>
  <c r="F30"/>
  <c r="E30"/>
  <c r="D30"/>
  <c r="C30"/>
  <c r="B30"/>
  <c r="AI11"/>
  <c r="AI10" i="36"/>
  <c r="AH11" i="35"/>
  <c r="AH10" i="36"/>
  <c r="AG11" i="35"/>
  <c r="AG10" i="36"/>
  <c r="AF11" i="35"/>
  <c r="AF10" i="36"/>
  <c r="W10"/>
  <c r="V10"/>
  <c r="U10"/>
  <c r="T10"/>
  <c r="W10" i="35"/>
  <c r="V10"/>
  <c r="U10"/>
  <c r="T10"/>
  <c r="T9" i="36"/>
  <c r="K10" i="35"/>
  <c r="K9" i="36"/>
  <c r="J10" i="35"/>
  <c r="J9" i="36"/>
  <c r="I10" i="35"/>
  <c r="I9" i="36"/>
  <c r="I8"/>
  <c r="H10" i="35"/>
  <c r="H9" i="36"/>
  <c r="H8"/>
  <c r="G10" i="35"/>
  <c r="AM6"/>
  <c r="AL6"/>
  <c r="AK6"/>
  <c r="AJ6"/>
  <c r="AJ5" i="36"/>
  <c r="AI6" i="35"/>
  <c r="AI5" i="36"/>
  <c r="AH6" i="35"/>
  <c r="AH5" i="36"/>
  <c r="AG6" i="35"/>
  <c r="AG5" i="36"/>
  <c r="AF6" i="35"/>
  <c r="AF5" i="36"/>
  <c r="AE6" i="35"/>
  <c r="AE5" i="36"/>
  <c r="AD5"/>
  <c r="AC5"/>
  <c r="AB5"/>
  <c r="AA5"/>
  <c r="Z5"/>
  <c r="Y5"/>
  <c r="X5"/>
  <c r="W5"/>
  <c r="V5"/>
  <c r="U5"/>
  <c r="T5"/>
  <c r="S5"/>
  <c r="R5"/>
  <c r="Q5"/>
  <c r="P5"/>
  <c r="O5"/>
  <c r="L5"/>
  <c r="K5"/>
  <c r="J5"/>
  <c r="I5"/>
  <c r="H5"/>
  <c r="C5"/>
  <c r="AM5" i="35"/>
  <c r="AM4" i="36"/>
  <c r="AL5" i="35"/>
  <c r="AL4" i="36"/>
  <c r="AK5" i="35"/>
  <c r="AK4" i="36"/>
  <c r="AJ5" i="35"/>
  <c r="AJ4" i="36"/>
  <c r="AD5" i="35"/>
  <c r="AC5"/>
  <c r="AB5"/>
  <c r="AB4" i="36"/>
  <c r="AA5" i="35"/>
  <c r="AA4" i="36"/>
  <c r="Z5" i="35"/>
  <c r="Z4" i="36"/>
  <c r="Y5" i="35"/>
  <c r="Y4" i="36"/>
  <c r="X5" i="35"/>
  <c r="X4" i="36"/>
  <c r="R5" i="35"/>
  <c r="Q5"/>
  <c r="P5"/>
  <c r="O5"/>
  <c r="N5"/>
  <c r="M5"/>
  <c r="L5"/>
  <c r="F5"/>
  <c r="E5"/>
  <c r="D5"/>
  <c r="C5"/>
  <c r="AN2"/>
  <c r="AB2"/>
  <c r="P2"/>
  <c r="D2"/>
  <c r="AN1"/>
  <c r="AN1" i="36"/>
  <c r="AB1" i="35"/>
  <c r="AB1" i="36"/>
  <c r="P1" i="35"/>
  <c r="P1" i="36"/>
  <c r="D1"/>
  <c r="B16"/>
  <c r="J31" i="28"/>
  <c r="I31"/>
  <c r="H31"/>
  <c r="G31"/>
  <c r="F31"/>
  <c r="E31"/>
  <c r="D31"/>
  <c r="C31"/>
  <c r="B31"/>
  <c r="B24"/>
  <c r="B28"/>
  <c r="K23"/>
  <c r="K23" i="35"/>
  <c r="J23" i="28"/>
  <c r="J23" i="35"/>
  <c r="I23" i="28"/>
  <c r="H23"/>
  <c r="G23"/>
  <c r="F23"/>
  <c r="E23"/>
  <c r="D23"/>
  <c r="D23" i="35"/>
  <c r="C23" i="28"/>
  <c r="B23"/>
  <c r="B23" i="35"/>
  <c r="K22" i="28"/>
  <c r="J22"/>
  <c r="J26"/>
  <c r="I22"/>
  <c r="I26"/>
  <c r="H22"/>
  <c r="H26"/>
  <c r="G22"/>
  <c r="G26"/>
  <c r="F22"/>
  <c r="F26"/>
  <c r="E22"/>
  <c r="E22" i="35"/>
  <c r="D22" i="28"/>
  <c r="D26"/>
  <c r="C22"/>
  <c r="C26"/>
  <c r="B22"/>
  <c r="B26"/>
  <c r="B22" i="35"/>
  <c r="B20" i="28"/>
  <c r="K10" i="36"/>
  <c r="G10"/>
  <c r="H10"/>
  <c r="I10"/>
  <c r="J10"/>
  <c r="G13" i="40"/>
  <c r="K22" i="35"/>
  <c r="J22"/>
  <c r="I22"/>
  <c r="H22"/>
  <c r="G22"/>
  <c r="B21" i="36"/>
  <c r="B24" i="35"/>
  <c r="C23"/>
  <c r="D21" i="36"/>
  <c r="I23" i="35"/>
  <c r="J21" i="36"/>
  <c r="B27" i="35"/>
  <c r="K142" i="3"/>
  <c r="K8" i="36"/>
  <c r="J8"/>
  <c r="B26" i="35"/>
  <c r="E26" i="28"/>
  <c r="H9" i="35"/>
  <c r="B20"/>
  <c r="D22"/>
  <c r="C22"/>
  <c r="F22"/>
  <c r="R4" i="36"/>
  <c r="Q4"/>
  <c r="P4"/>
  <c r="O4"/>
  <c r="N4"/>
  <c r="M4"/>
  <c r="L4"/>
  <c r="AD4"/>
  <c r="AC4"/>
  <c r="G5"/>
  <c r="F5"/>
  <c r="E5"/>
  <c r="D5"/>
  <c r="B27" i="28"/>
  <c r="K9" i="35"/>
  <c r="J9"/>
  <c r="I9"/>
  <c r="B17"/>
  <c r="F4" i="36"/>
  <c r="E4"/>
  <c r="D4"/>
  <c r="C4"/>
  <c r="W9"/>
  <c r="V9"/>
  <c r="U9"/>
  <c r="B28" i="35"/>
  <c r="J24"/>
  <c r="L24"/>
  <c r="F13" i="40"/>
  <c r="H13"/>
  <c r="I13"/>
  <c r="C31" i="35"/>
  <c r="B31"/>
  <c r="C17" i="36"/>
  <c r="C26" i="35"/>
  <c r="C17"/>
  <c r="J142" i="3"/>
  <c r="K156"/>
  <c r="K145"/>
  <c r="H23" i="35"/>
  <c r="I24"/>
  <c r="I142" i="3"/>
  <c r="C21" i="36"/>
  <c r="C24" i="35"/>
  <c r="K20" i="36"/>
  <c r="J20"/>
  <c r="I20"/>
  <c r="H20"/>
  <c r="G20"/>
  <c r="F20"/>
  <c r="E20"/>
  <c r="D20"/>
  <c r="C20"/>
  <c r="B20"/>
  <c r="B23"/>
  <c r="J22"/>
  <c r="B24"/>
  <c r="I21"/>
  <c r="I22"/>
  <c r="D24" i="35"/>
  <c r="G23"/>
  <c r="H21" i="36"/>
  <c r="G21"/>
  <c r="G22"/>
  <c r="H24" i="35"/>
  <c r="H142" i="3"/>
  <c r="H156"/>
  <c r="I156"/>
  <c r="I145"/>
  <c r="J156"/>
  <c r="J145"/>
  <c r="D17" i="36"/>
  <c r="D26" i="35"/>
  <c r="D17"/>
  <c r="D31"/>
  <c r="C23" i="36"/>
  <c r="C16"/>
  <c r="H22"/>
  <c r="D23"/>
  <c r="D16"/>
  <c r="G142" i="3"/>
  <c r="G156"/>
  <c r="O156"/>
  <c r="H145"/>
  <c r="F23" i="35"/>
  <c r="G24"/>
  <c r="E31"/>
  <c r="E17" i="36"/>
  <c r="E26" i="35"/>
  <c r="E17"/>
  <c r="F17" i="36"/>
  <c r="F26" i="35"/>
  <c r="F17"/>
  <c r="F31"/>
  <c r="E23" i="36"/>
  <c r="E16"/>
  <c r="F142" i="3"/>
  <c r="F145"/>
  <c r="E142"/>
  <c r="D142"/>
  <c r="D145"/>
  <c r="C142"/>
  <c r="G145"/>
  <c r="E145"/>
  <c r="C145"/>
  <c r="E23" i="35"/>
  <c r="F21" i="36"/>
  <c r="F24" i="35"/>
  <c r="F22" i="36"/>
  <c r="E21"/>
  <c r="E22"/>
  <c r="D22"/>
  <c r="C22"/>
  <c r="B22"/>
  <c r="E24" i="35"/>
  <c r="G31"/>
  <c r="G17" i="36"/>
  <c r="G26" i="35"/>
  <c r="G17"/>
  <c r="F23" i="36"/>
  <c r="F16"/>
  <c r="H17"/>
  <c r="H26" i="35"/>
  <c r="H17"/>
  <c r="H31"/>
  <c r="G23" i="36"/>
  <c r="G16"/>
  <c r="H23"/>
  <c r="H16"/>
  <c r="I31" i="35"/>
  <c r="I17" i="36"/>
  <c r="I26" i="35"/>
  <c r="I17"/>
  <c r="K18" i="28"/>
  <c r="L18"/>
  <c r="AI18"/>
  <c r="AJ18"/>
  <c r="AK18"/>
  <c r="AL18"/>
  <c r="J18"/>
  <c r="I18"/>
  <c r="H18"/>
  <c r="G18"/>
  <c r="F18"/>
  <c r="E18"/>
  <c r="D18"/>
  <c r="C18"/>
  <c r="AL17"/>
  <c r="K31"/>
  <c r="K26"/>
  <c r="J17" i="36"/>
  <c r="J26" i="35"/>
  <c r="J17"/>
  <c r="J31"/>
  <c r="I23" i="36"/>
  <c r="I16"/>
  <c r="AK17" i="28"/>
  <c r="AJ17"/>
  <c r="AI17"/>
  <c r="AH17"/>
  <c r="J23" i="36"/>
  <c r="J16"/>
  <c r="K31" i="35"/>
  <c r="K26"/>
  <c r="K17"/>
  <c r="AG17" i="28"/>
  <c r="L26" i="35"/>
  <c r="L17"/>
  <c r="L31"/>
  <c r="AF17" i="28"/>
  <c r="M17" i="35"/>
  <c r="AE17" i="28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B17"/>
  <c r="AI11"/>
  <c r="AH11"/>
  <c r="AG11"/>
  <c r="AF11"/>
  <c r="W11"/>
  <c r="V11"/>
  <c r="U11"/>
  <c r="T11"/>
  <c r="AI10"/>
  <c r="AH10"/>
  <c r="AG10"/>
  <c r="AF10"/>
  <c r="W10"/>
  <c r="V10"/>
  <c r="U10"/>
  <c r="T10"/>
  <c r="K10"/>
  <c r="J10"/>
  <c r="I10"/>
  <c r="H10"/>
  <c r="AM7"/>
  <c r="AM8"/>
  <c r="AM6"/>
  <c r="AL6"/>
  <c r="AK6"/>
  <c r="AJ6"/>
  <c r="AD6"/>
  <c r="AC6"/>
  <c r="AB6"/>
  <c r="AA6"/>
  <c r="Z6"/>
  <c r="Y6"/>
  <c r="X6"/>
  <c r="R6"/>
  <c r="Q6"/>
  <c r="P6"/>
  <c r="O6"/>
  <c r="AM5"/>
  <c r="AL5"/>
  <c r="AK5"/>
  <c r="AJ5"/>
  <c r="AD5"/>
  <c r="AC5"/>
  <c r="AB5"/>
  <c r="AA5"/>
  <c r="Z5"/>
  <c r="Y5"/>
  <c r="X5"/>
  <c r="R5"/>
  <c r="Q5"/>
  <c r="P5"/>
  <c r="O5"/>
  <c r="N5"/>
  <c r="M5"/>
  <c r="L5"/>
  <c r="F5"/>
  <c r="E5"/>
  <c r="D5"/>
  <c r="C5"/>
  <c r="J31" i="6"/>
  <c r="I31"/>
  <c r="H31"/>
  <c r="G31"/>
  <c r="F31"/>
  <c r="E31"/>
  <c r="D31"/>
  <c r="C31"/>
  <c r="B31"/>
  <c r="B28"/>
  <c r="B27"/>
  <c r="J26"/>
  <c r="I26"/>
  <c r="H26"/>
  <c r="G26"/>
  <c r="F26"/>
  <c r="E26"/>
  <c r="D26"/>
  <c r="C26"/>
  <c r="B26"/>
  <c r="L24"/>
  <c r="K24"/>
  <c r="K24" i="28"/>
  <c r="J24"/>
  <c r="I24"/>
  <c r="H24"/>
  <c r="G24"/>
  <c r="F24"/>
  <c r="E24"/>
  <c r="D24"/>
  <c r="C24"/>
  <c r="J24" i="6"/>
  <c r="I24"/>
  <c r="H24"/>
  <c r="G24"/>
  <c r="F24"/>
  <c r="E24"/>
  <c r="D24"/>
  <c r="C24"/>
  <c r="B24"/>
  <c r="J23"/>
  <c r="I23"/>
  <c r="H23"/>
  <c r="G23"/>
  <c r="F23"/>
  <c r="E23"/>
  <c r="D23"/>
  <c r="C23"/>
  <c r="B23"/>
  <c r="J22"/>
  <c r="I22"/>
  <c r="H22"/>
  <c r="G22"/>
  <c r="F22"/>
  <c r="E22"/>
  <c r="D22"/>
  <c r="C22"/>
  <c r="B22"/>
  <c r="B20"/>
  <c r="L18"/>
  <c r="J18"/>
  <c r="I18"/>
  <c r="H18"/>
  <c r="G18"/>
  <c r="F18"/>
  <c r="E18"/>
  <c r="D18"/>
  <c r="C18"/>
  <c r="J17"/>
  <c r="I17"/>
  <c r="H17"/>
  <c r="G17"/>
  <c r="F17"/>
  <c r="E17"/>
  <c r="D17"/>
  <c r="C17"/>
  <c r="B17"/>
  <c r="AI11"/>
  <c r="AH11"/>
  <c r="AG11"/>
  <c r="AF11"/>
  <c r="W11"/>
  <c r="V11"/>
  <c r="U11"/>
  <c r="T11"/>
  <c r="AI10"/>
  <c r="AH10"/>
  <c r="AG10"/>
  <c r="AF10"/>
  <c r="W10"/>
  <c r="V10"/>
  <c r="U10"/>
  <c r="T10"/>
  <c r="K10"/>
  <c r="J10"/>
  <c r="I10"/>
  <c r="H10"/>
  <c r="AM7"/>
  <c r="K17"/>
  <c r="L26"/>
  <c r="L31"/>
  <c r="K31"/>
  <c r="K26"/>
  <c r="L17"/>
  <c r="AM8"/>
  <c r="AM6"/>
  <c r="AL6"/>
  <c r="AK6"/>
  <c r="AJ6"/>
  <c r="AD6"/>
  <c r="AC6"/>
  <c r="AB6"/>
  <c r="AA6"/>
  <c r="Z6"/>
  <c r="Y6"/>
  <c r="X6"/>
  <c r="R6"/>
  <c r="Q6"/>
  <c r="P6"/>
  <c r="O6"/>
  <c r="AM5"/>
  <c r="AL5"/>
  <c r="AK5"/>
  <c r="AJ5"/>
  <c r="AD5"/>
  <c r="AC5"/>
  <c r="AB5"/>
  <c r="AA5"/>
  <c r="Z5"/>
  <c r="Y5"/>
  <c r="X5"/>
  <c r="R5"/>
  <c r="Q5"/>
  <c r="P5"/>
  <c r="O5"/>
  <c r="N5"/>
  <c r="M5"/>
  <c r="L5"/>
  <c r="F5"/>
  <c r="E5"/>
  <c r="D5"/>
  <c r="C5"/>
  <c r="I31" i="5"/>
  <c r="H31"/>
  <c r="G31"/>
  <c r="F31"/>
  <c r="E31"/>
  <c r="D31"/>
  <c r="C31"/>
  <c r="B31"/>
  <c r="M17" i="6"/>
  <c r="AM8" i="35"/>
  <c r="B28" i="5"/>
  <c r="B27"/>
  <c r="I26"/>
  <c r="H26"/>
  <c r="G26"/>
  <c r="F26"/>
  <c r="E26"/>
  <c r="D26"/>
  <c r="C26"/>
  <c r="B26"/>
  <c r="I24"/>
  <c r="H24"/>
  <c r="G24"/>
  <c r="F24"/>
  <c r="E24"/>
  <c r="D24"/>
  <c r="C24"/>
  <c r="B24"/>
  <c r="N17" i="6"/>
  <c r="AM7" i="36"/>
  <c r="AM7" i="35"/>
  <c r="B20" i="5"/>
  <c r="J18"/>
  <c r="J17"/>
  <c r="I18"/>
  <c r="H18"/>
  <c r="G18"/>
  <c r="F18"/>
  <c r="E18"/>
  <c r="D18"/>
  <c r="C18"/>
  <c r="I17"/>
  <c r="H17"/>
  <c r="G17"/>
  <c r="F17"/>
  <c r="E17"/>
  <c r="D17"/>
  <c r="C17"/>
  <c r="B17"/>
  <c r="AI11"/>
  <c r="AH11"/>
  <c r="AG11"/>
  <c r="AF11"/>
  <c r="W11"/>
  <c r="V11"/>
  <c r="U11"/>
  <c r="T11"/>
  <c r="AI10"/>
  <c r="AH10"/>
  <c r="AG10"/>
  <c r="AF10"/>
  <c r="W10"/>
  <c r="V10"/>
  <c r="U10"/>
  <c r="T10"/>
  <c r="K10"/>
  <c r="J10"/>
  <c r="I10"/>
  <c r="H10"/>
  <c r="AM8"/>
  <c r="O17" i="6"/>
  <c r="J31" i="5"/>
  <c r="J26"/>
  <c r="K18"/>
  <c r="K17"/>
  <c r="K26"/>
  <c r="J7" i="28"/>
  <c r="P17" i="6"/>
  <c r="L18" i="5"/>
  <c r="L26"/>
  <c r="K31"/>
  <c r="I7" i="28"/>
  <c r="L31" i="5"/>
  <c r="L17"/>
  <c r="Q17" i="6"/>
  <c r="H7" i="28"/>
  <c r="M17" i="5"/>
  <c r="R17" i="6"/>
  <c r="N17" i="5"/>
  <c r="S17" i="6"/>
  <c r="O17" i="5"/>
  <c r="AM6"/>
  <c r="AL6"/>
  <c r="AK6"/>
  <c r="AJ6"/>
  <c r="AD6"/>
  <c r="AC6"/>
  <c r="AB6"/>
  <c r="AA6"/>
  <c r="Z6"/>
  <c r="Y6"/>
  <c r="X6"/>
  <c r="R6"/>
  <c r="Q6"/>
  <c r="P6"/>
  <c r="O6"/>
  <c r="AM5"/>
  <c r="AL5"/>
  <c r="AK5"/>
  <c r="AJ5"/>
  <c r="AD5"/>
  <c r="AC5"/>
  <c r="AB5"/>
  <c r="AA5"/>
  <c r="Z5"/>
  <c r="Y5"/>
  <c r="X5"/>
  <c r="R5"/>
  <c r="Q5"/>
  <c r="P5"/>
  <c r="O5"/>
  <c r="N5"/>
  <c r="M5"/>
  <c r="L5"/>
  <c r="F5"/>
  <c r="E5"/>
  <c r="D5"/>
  <c r="C5"/>
  <c r="B30" i="4"/>
  <c r="J29"/>
  <c r="I29"/>
  <c r="T17" i="6"/>
  <c r="P17" i="5"/>
  <c r="H29" i="4"/>
  <c r="U17" i="6"/>
  <c r="Q17" i="5"/>
  <c r="G29" i="4"/>
  <c r="V17" i="6"/>
  <c r="R17" i="5"/>
  <c r="F29" i="4"/>
  <c r="E29"/>
  <c r="D29"/>
  <c r="C29"/>
  <c r="B29"/>
  <c r="F27"/>
  <c r="E27"/>
  <c r="W17" i="6"/>
  <c r="S17" i="5"/>
  <c r="D27" i="4"/>
  <c r="C27"/>
  <c r="B27"/>
  <c r="B31"/>
  <c r="X17" i="6"/>
  <c r="T17" i="5"/>
  <c r="Y17" i="6"/>
  <c r="U17" i="5"/>
  <c r="B23" i="4"/>
  <c r="Z17" i="6"/>
  <c r="V17" i="5"/>
  <c r="AA17" i="6"/>
  <c r="W17" i="5"/>
  <c r="K21" i="4"/>
  <c r="K17" i="36"/>
  <c r="J21" i="4"/>
  <c r="I21"/>
  <c r="H21"/>
  <c r="G21"/>
  <c r="F21"/>
  <c r="E21"/>
  <c r="D21"/>
  <c r="C21"/>
  <c r="J19"/>
  <c r="I19"/>
  <c r="H19"/>
  <c r="G19"/>
  <c r="F19"/>
  <c r="E19"/>
  <c r="D19"/>
  <c r="C19"/>
  <c r="B19"/>
  <c r="AB17" i="6"/>
  <c r="K19" i="4"/>
  <c r="X17" i="5"/>
  <c r="L21" i="4"/>
  <c r="K23" i="36"/>
  <c r="K16"/>
  <c r="AI13" i="4"/>
  <c r="AH13"/>
  <c r="AG13"/>
  <c r="AF13"/>
  <c r="W13"/>
  <c r="V13"/>
  <c r="U13"/>
  <c r="T13"/>
  <c r="AI12"/>
  <c r="AH12"/>
  <c r="AG12"/>
  <c r="AF12"/>
  <c r="W12"/>
  <c r="V12"/>
  <c r="U12"/>
  <c r="T12"/>
  <c r="K12"/>
  <c r="J12"/>
  <c r="I12"/>
  <c r="H12"/>
  <c r="AL8"/>
  <c r="AK8"/>
  <c r="AJ8"/>
  <c r="AD8"/>
  <c r="AC8"/>
  <c r="AB8"/>
  <c r="AA8"/>
  <c r="Z8"/>
  <c r="Y8"/>
  <c r="X8"/>
  <c r="R8"/>
  <c r="Q8"/>
  <c r="P8"/>
  <c r="O8"/>
  <c r="R7"/>
  <c r="Q7"/>
  <c r="P7"/>
  <c r="O7"/>
  <c r="N7"/>
  <c r="M7"/>
  <c r="L7"/>
  <c r="G7"/>
  <c r="F7"/>
  <c r="E7"/>
  <c r="D7"/>
  <c r="C7"/>
  <c r="AL6"/>
  <c r="AK6"/>
  <c r="AJ6"/>
  <c r="AD6"/>
  <c r="AC6"/>
  <c r="AB6"/>
  <c r="AA6"/>
  <c r="Z6"/>
  <c r="Y6"/>
  <c r="X6"/>
  <c r="R6"/>
  <c r="Q6"/>
  <c r="P6"/>
  <c r="O6"/>
  <c r="N6"/>
  <c r="M6"/>
  <c r="L6"/>
  <c r="F6"/>
  <c r="E6"/>
  <c r="D6"/>
  <c r="C6"/>
  <c r="AD4"/>
  <c r="AC4"/>
  <c r="AB4"/>
  <c r="AA4"/>
  <c r="Z4"/>
  <c r="Y4"/>
  <c r="X4"/>
  <c r="R4"/>
  <c r="Q4"/>
  <c r="P4"/>
  <c r="O4"/>
  <c r="N4"/>
  <c r="M4"/>
  <c r="L4"/>
  <c r="G4"/>
  <c r="F4"/>
  <c r="E4"/>
  <c r="D4"/>
  <c r="C4"/>
  <c r="AN1"/>
  <c r="AB1"/>
  <c r="P1"/>
  <c r="D1"/>
  <c r="B1"/>
  <c r="A1"/>
  <c r="D74" i="39"/>
  <c r="D73"/>
  <c r="D72"/>
  <c r="D71"/>
  <c r="D70"/>
  <c r="D69"/>
  <c r="D68"/>
  <c r="D67"/>
  <c r="H66"/>
  <c r="D66"/>
  <c r="B66"/>
  <c r="D65"/>
  <c r="D64"/>
  <c r="D63"/>
  <c r="AC17" i="6"/>
  <c r="H78" i="39"/>
  <c r="H75"/>
  <c r="Y17" i="5"/>
  <c r="L17" i="36"/>
  <c r="L23"/>
  <c r="L19" i="4"/>
  <c r="I64" i="39"/>
  <c r="I65"/>
  <c r="H63"/>
  <c r="I63"/>
  <c r="I66"/>
  <c r="I67"/>
  <c r="I68"/>
  <c r="I69"/>
  <c r="I70"/>
  <c r="I71"/>
  <c r="I72"/>
  <c r="I73"/>
  <c r="I74"/>
  <c r="B63"/>
  <c r="B64"/>
  <c r="D62"/>
  <c r="AD17" i="6"/>
  <c r="Z17" i="5"/>
  <c r="M19" i="4"/>
  <c r="I62" i="39"/>
  <c r="C23" i="4"/>
  <c r="C31"/>
  <c r="D61" i="39"/>
  <c r="B61"/>
  <c r="D60"/>
  <c r="D59"/>
  <c r="D58"/>
  <c r="D57"/>
  <c r="D56"/>
  <c r="D55"/>
  <c r="H54"/>
  <c r="D54"/>
  <c r="B54"/>
  <c r="D53"/>
  <c r="I53"/>
  <c r="D52"/>
  <c r="D51"/>
  <c r="I51"/>
  <c r="D50"/>
  <c r="I50"/>
  <c r="H49"/>
  <c r="D49"/>
  <c r="I49"/>
  <c r="D48"/>
  <c r="I48"/>
  <c r="D47"/>
  <c r="I47"/>
  <c r="D46"/>
  <c r="I46"/>
  <c r="D45"/>
  <c r="I45"/>
  <c r="D44"/>
  <c r="I44"/>
  <c r="D43"/>
  <c r="H42"/>
  <c r="D42"/>
  <c r="B42"/>
  <c r="D41"/>
  <c r="I41"/>
  <c r="D40"/>
  <c r="H39"/>
  <c r="D39"/>
  <c r="I39"/>
  <c r="D38"/>
  <c r="H37"/>
  <c r="D37"/>
  <c r="D36"/>
  <c r="D35"/>
  <c r="I35"/>
  <c r="D34"/>
  <c r="D33"/>
  <c r="I33"/>
  <c r="D32"/>
  <c r="D31"/>
  <c r="I31"/>
  <c r="H30"/>
  <c r="D30"/>
  <c r="B30"/>
  <c r="D29"/>
  <c r="I29"/>
  <c r="D28"/>
  <c r="H27"/>
  <c r="D27"/>
  <c r="B27"/>
  <c r="D26"/>
  <c r="I26"/>
  <c r="H25"/>
  <c r="D25"/>
  <c r="D24"/>
  <c r="D23"/>
  <c r="I23"/>
  <c r="D22"/>
  <c r="D21"/>
  <c r="I21"/>
  <c r="D20"/>
  <c r="D19"/>
  <c r="I19"/>
  <c r="H18"/>
  <c r="D18"/>
  <c r="B18"/>
  <c r="D17"/>
  <c r="I17"/>
  <c r="D16"/>
  <c r="H15"/>
  <c r="D15"/>
  <c r="B15"/>
  <c r="D14"/>
  <c r="I14"/>
  <c r="H13"/>
  <c r="D13"/>
  <c r="D12"/>
  <c r="D11"/>
  <c r="I11"/>
  <c r="D10"/>
  <c r="D9"/>
  <c r="I9"/>
  <c r="D8"/>
  <c r="D7"/>
  <c r="I7"/>
  <c r="H6"/>
  <c r="D6"/>
  <c r="B6"/>
  <c r="D5"/>
  <c r="I5"/>
  <c r="D4"/>
  <c r="H3"/>
  <c r="D3"/>
  <c r="B3"/>
  <c r="P134" i="16"/>
  <c r="O134"/>
  <c r="N134"/>
  <c r="M134"/>
  <c r="L134"/>
  <c r="K134"/>
  <c r="J134"/>
  <c r="I134"/>
  <c r="H134"/>
  <c r="G134"/>
  <c r="BA133"/>
  <c r="AZ133"/>
  <c r="AY133"/>
  <c r="AX133"/>
  <c r="AW133"/>
  <c r="AV133"/>
  <c r="AU133"/>
  <c r="AT133"/>
  <c r="AS133"/>
  <c r="AR133"/>
  <c r="AQ133"/>
  <c r="AP133"/>
  <c r="AO133"/>
  <c r="AJ133"/>
  <c r="AI133"/>
  <c r="AH133"/>
  <c r="AG133"/>
  <c r="AF133"/>
  <c r="AE133"/>
  <c r="AD133"/>
  <c r="AC133"/>
  <c r="AB133"/>
  <c r="AA133"/>
  <c r="Z133"/>
  <c r="Y133"/>
  <c r="X133"/>
  <c r="R133"/>
  <c r="Q133"/>
  <c r="P133"/>
  <c r="O133"/>
  <c r="N133"/>
  <c r="M133"/>
  <c r="L133"/>
  <c r="K133"/>
  <c r="J133"/>
  <c r="I133"/>
  <c r="H133"/>
  <c r="G133"/>
  <c r="G126"/>
  <c r="P122"/>
  <c r="O122"/>
  <c r="N122"/>
  <c r="M122"/>
  <c r="L122"/>
  <c r="K122"/>
  <c r="J122"/>
  <c r="I122"/>
  <c r="H122"/>
  <c r="G122"/>
  <c r="B13" i="39"/>
  <c r="I12"/>
  <c r="B25"/>
  <c r="I24"/>
  <c r="B37"/>
  <c r="I36"/>
  <c r="I40"/>
  <c r="I52"/>
  <c r="AE17" i="6"/>
  <c r="I4" i="39"/>
  <c r="I6"/>
  <c r="I8"/>
  <c r="I10"/>
  <c r="I16"/>
  <c r="I18"/>
  <c r="I20"/>
  <c r="I22"/>
  <c r="I28"/>
  <c r="I30"/>
  <c r="I32"/>
  <c r="I34"/>
  <c r="B39"/>
  <c r="I38"/>
  <c r="I43"/>
  <c r="B49"/>
  <c r="B51"/>
  <c r="B52"/>
  <c r="I3"/>
  <c r="I13"/>
  <c r="I15"/>
  <c r="I25"/>
  <c r="I27"/>
  <c r="I37"/>
  <c r="I42"/>
  <c r="I61"/>
  <c r="H61"/>
  <c r="AA17" i="5"/>
  <c r="N19" i="4"/>
  <c r="H51" i="39"/>
  <c r="I54"/>
  <c r="I55"/>
  <c r="I56"/>
  <c r="I57"/>
  <c r="I58"/>
  <c r="I59"/>
  <c r="I60"/>
  <c r="C30" i="4"/>
  <c r="P118" i="16"/>
  <c r="O118"/>
  <c r="N118"/>
  <c r="M118"/>
  <c r="L118"/>
  <c r="K118"/>
  <c r="J118"/>
  <c r="I118"/>
  <c r="H118"/>
  <c r="G118"/>
  <c r="AF17" i="6"/>
  <c r="B40" i="39"/>
  <c r="AB17" i="5"/>
  <c r="O19" i="4"/>
  <c r="P112" i="16"/>
  <c r="O112"/>
  <c r="N112"/>
  <c r="M112"/>
  <c r="L112"/>
  <c r="K112"/>
  <c r="J112"/>
  <c r="I112"/>
  <c r="H112"/>
  <c r="G112"/>
  <c r="AZ112"/>
  <c r="AY112"/>
  <c r="AX112"/>
  <c r="AW112"/>
  <c r="AV112"/>
  <c r="AU112"/>
  <c r="AT112"/>
  <c r="AS112"/>
  <c r="AR112"/>
  <c r="AQ112"/>
  <c r="AP112"/>
  <c r="AO112"/>
  <c r="AI112"/>
  <c r="AH112"/>
  <c r="AG112"/>
  <c r="AF112"/>
  <c r="AE112"/>
  <c r="AD112"/>
  <c r="AC112"/>
  <c r="AB112"/>
  <c r="AA112"/>
  <c r="Z112"/>
  <c r="Y112"/>
  <c r="X112"/>
  <c r="R112"/>
  <c r="Q112"/>
  <c r="E111"/>
  <c r="BA110"/>
  <c r="AZ110"/>
  <c r="AY110"/>
  <c r="AX110"/>
  <c r="AW110"/>
  <c r="AV110"/>
  <c r="AU110"/>
  <c r="AT110"/>
  <c r="AS110"/>
  <c r="AR110"/>
  <c r="AQ110"/>
  <c r="AP110"/>
  <c r="AO110"/>
  <c r="AJ110"/>
  <c r="AI110"/>
  <c r="AH110"/>
  <c r="AG110"/>
  <c r="AF110"/>
  <c r="AE110"/>
  <c r="AD110"/>
  <c r="AC110"/>
  <c r="AB110"/>
  <c r="AA110"/>
  <c r="Z110"/>
  <c r="Y110"/>
  <c r="X110"/>
  <c r="S110"/>
  <c r="R110"/>
  <c r="Q110"/>
  <c r="P110"/>
  <c r="O110"/>
  <c r="N110"/>
  <c r="M110"/>
  <c r="L110"/>
  <c r="K110"/>
  <c r="J110"/>
  <c r="I110"/>
  <c r="H110"/>
  <c r="G110"/>
  <c r="G106"/>
  <c r="B106"/>
  <c r="I105"/>
  <c r="H105"/>
  <c r="G105"/>
  <c r="S112"/>
  <c r="AJ112"/>
  <c r="I39" i="37"/>
  <c r="J39"/>
  <c r="H20"/>
  <c r="AG17" i="6"/>
  <c r="H31" i="37"/>
  <c r="H50"/>
  <c r="H45"/>
  <c r="H46"/>
  <c r="BA112" i="16"/>
  <c r="BA111"/>
  <c r="AO54"/>
  <c r="AO53"/>
  <c r="AQ54"/>
  <c r="AQ53"/>
  <c r="AP54"/>
  <c r="AP53"/>
  <c r="AR54"/>
  <c r="AR53"/>
  <c r="AC17" i="5"/>
  <c r="P19" i="4"/>
  <c r="Q134" i="16"/>
  <c r="Q122"/>
  <c r="Q118"/>
  <c r="X134"/>
  <c r="Z134"/>
  <c r="S7" i="5"/>
  <c r="AB134" i="16"/>
  <c r="U7" i="5"/>
  <c r="AD134" i="16"/>
  <c r="W7" i="5"/>
  <c r="AF134" i="16"/>
  <c r="AH134"/>
  <c r="AO134"/>
  <c r="AQ134"/>
  <c r="AE7" i="5"/>
  <c r="AS134" i="16"/>
  <c r="AG7" i="5"/>
  <c r="AU134" i="16"/>
  <c r="AI7" i="5"/>
  <c r="AW134" i="16"/>
  <c r="AK7" i="5"/>
  <c r="AY134" i="16"/>
  <c r="R134"/>
  <c r="R122"/>
  <c r="R118"/>
  <c r="Y134"/>
  <c r="AA134"/>
  <c r="T7" i="5"/>
  <c r="AC134" i="16"/>
  <c r="V7" i="5"/>
  <c r="AE134" i="16"/>
  <c r="AG134"/>
  <c r="AI134"/>
  <c r="AP134"/>
  <c r="AR134"/>
  <c r="AF7" i="5"/>
  <c r="AT134" i="16"/>
  <c r="AH7" i="5"/>
  <c r="AV134" i="16"/>
  <c r="AJ7" i="5"/>
  <c r="AJ8"/>
  <c r="AX134" i="16"/>
  <c r="AL7" i="5"/>
  <c r="AL7" i="28"/>
  <c r="AL8"/>
  <c r="AZ134" i="16"/>
  <c r="S111"/>
  <c r="AI18" i="6"/>
  <c r="AH17"/>
  <c r="BA53" i="16"/>
  <c r="BA54"/>
  <c r="G45" i="37"/>
  <c r="AD17" i="5"/>
  <c r="Q19" i="4"/>
  <c r="BA134" i="16"/>
  <c r="AJ134"/>
  <c r="S134"/>
  <c r="AL7" i="6"/>
  <c r="AL8"/>
  <c r="AJ7" i="28"/>
  <c r="AK7"/>
  <c r="AK8" i="5"/>
  <c r="AK7" i="6"/>
  <c r="R94" i="16"/>
  <c r="Q94"/>
  <c r="P94"/>
  <c r="O94"/>
  <c r="N94"/>
  <c r="M94"/>
  <c r="L94"/>
  <c r="K94"/>
  <c r="J94"/>
  <c r="I94"/>
  <c r="H94"/>
  <c r="G94"/>
  <c r="AI91"/>
  <c r="AH91"/>
  <c r="P91"/>
  <c r="O91"/>
  <c r="N91"/>
  <c r="M91"/>
  <c r="L91"/>
  <c r="K91"/>
  <c r="J91"/>
  <c r="I91"/>
  <c r="H91"/>
  <c r="G91"/>
  <c r="AI90"/>
  <c r="AH90"/>
  <c r="AG90"/>
  <c r="AF90"/>
  <c r="AE90"/>
  <c r="AD90"/>
  <c r="AC90"/>
  <c r="AB90"/>
  <c r="AA90"/>
  <c r="Z90"/>
  <c r="Y90"/>
  <c r="X90"/>
  <c r="S90"/>
  <c r="R90"/>
  <c r="Q90"/>
  <c r="P90"/>
  <c r="O90"/>
  <c r="N90"/>
  <c r="M90"/>
  <c r="L90"/>
  <c r="K90"/>
  <c r="J90"/>
  <c r="I90"/>
  <c r="H90"/>
  <c r="G90"/>
  <c r="AI89"/>
  <c r="AH89"/>
  <c r="P89"/>
  <c r="O89"/>
  <c r="N89"/>
  <c r="M89"/>
  <c r="L89"/>
  <c r="K89"/>
  <c r="J89"/>
  <c r="I89"/>
  <c r="H89"/>
  <c r="G89"/>
  <c r="AJ88"/>
  <c r="AI88"/>
  <c r="AH88"/>
  <c r="AG88"/>
  <c r="AF88"/>
  <c r="AE88"/>
  <c r="AD88"/>
  <c r="AC88"/>
  <c r="AB88"/>
  <c r="AA88"/>
  <c r="Z88"/>
  <c r="Y88"/>
  <c r="X88"/>
  <c r="R88"/>
  <c r="Q88"/>
  <c r="P88"/>
  <c r="O88"/>
  <c r="N88"/>
  <c r="M88"/>
  <c r="L88"/>
  <c r="K88"/>
  <c r="J88"/>
  <c r="I88"/>
  <c r="H88"/>
  <c r="G88"/>
  <c r="AI87"/>
  <c r="AH87"/>
  <c r="AG87"/>
  <c r="AF87"/>
  <c r="AE87"/>
  <c r="AD87"/>
  <c r="AC87"/>
  <c r="AB87"/>
  <c r="AA87"/>
  <c r="Z87"/>
  <c r="Y87"/>
  <c r="X87"/>
  <c r="R87"/>
  <c r="Q87"/>
  <c r="P87"/>
  <c r="O87"/>
  <c r="N87"/>
  <c r="M87"/>
  <c r="L87"/>
  <c r="K87"/>
  <c r="J87"/>
  <c r="I87"/>
  <c r="H87"/>
  <c r="G87"/>
  <c r="AJ86"/>
  <c r="AI86"/>
  <c r="AH86"/>
  <c r="AG86"/>
  <c r="AF86"/>
  <c r="AE86"/>
  <c r="AD86"/>
  <c r="AC86"/>
  <c r="AB86"/>
  <c r="AA86"/>
  <c r="Z86"/>
  <c r="Y86"/>
  <c r="X86"/>
  <c r="R86"/>
  <c r="Q86"/>
  <c r="P86"/>
  <c r="O86"/>
  <c r="N86"/>
  <c r="M86"/>
  <c r="L86"/>
  <c r="K86"/>
  <c r="J86"/>
  <c r="I86"/>
  <c r="H86"/>
  <c r="G86"/>
  <c r="S85"/>
  <c r="R85"/>
  <c r="Q85"/>
  <c r="P85"/>
  <c r="O85"/>
  <c r="N85"/>
  <c r="M85"/>
  <c r="L85"/>
  <c r="K85"/>
  <c r="J85"/>
  <c r="I85"/>
  <c r="H85"/>
  <c r="G85"/>
  <c r="AI83"/>
  <c r="AH83"/>
  <c r="P83"/>
  <c r="O83"/>
  <c r="N83"/>
  <c r="M83"/>
  <c r="L83"/>
  <c r="K83"/>
  <c r="J83"/>
  <c r="I83"/>
  <c r="H83"/>
  <c r="G83"/>
  <c r="AI81"/>
  <c r="AH81"/>
  <c r="AG81"/>
  <c r="AG89"/>
  <c r="AF81"/>
  <c r="AF89"/>
  <c r="AE81"/>
  <c r="AE89"/>
  <c r="AD81"/>
  <c r="AD89"/>
  <c r="AC81"/>
  <c r="AC89"/>
  <c r="AB81"/>
  <c r="AB89"/>
  <c r="AA81"/>
  <c r="AA89"/>
  <c r="Z81"/>
  <c r="Z89"/>
  <c r="Y81"/>
  <c r="Y89"/>
  <c r="X81"/>
  <c r="X89"/>
  <c r="R81"/>
  <c r="R89"/>
  <c r="Q81"/>
  <c r="Q89"/>
  <c r="P81"/>
  <c r="O81"/>
  <c r="N81"/>
  <c r="M81"/>
  <c r="L81"/>
  <c r="K81"/>
  <c r="J81"/>
  <c r="I81"/>
  <c r="H81"/>
  <c r="G81"/>
  <c r="AI80"/>
  <c r="AH80"/>
  <c r="AG80"/>
  <c r="AF80"/>
  <c r="AE80"/>
  <c r="AD80"/>
  <c r="AC80"/>
  <c r="AB80"/>
  <c r="AA80"/>
  <c r="Z80"/>
  <c r="Y80"/>
  <c r="X80"/>
  <c r="R80"/>
  <c r="Q80"/>
  <c r="P80"/>
  <c r="O80"/>
  <c r="N80"/>
  <c r="M80"/>
  <c r="L80"/>
  <c r="K80"/>
  <c r="J80"/>
  <c r="I80"/>
  <c r="H80"/>
  <c r="G80"/>
  <c r="AI77"/>
  <c r="AH77"/>
  <c r="AG77"/>
  <c r="AF77"/>
  <c r="AE77"/>
  <c r="AD77"/>
  <c r="AC77"/>
  <c r="AB77"/>
  <c r="AA77"/>
  <c r="Z77"/>
  <c r="Y77"/>
  <c r="X77"/>
  <c r="R77"/>
  <c r="Q77"/>
  <c r="P77"/>
  <c r="O77"/>
  <c r="N77"/>
  <c r="M77"/>
  <c r="L77"/>
  <c r="K77"/>
  <c r="J77"/>
  <c r="I77"/>
  <c r="H77"/>
  <c r="G77"/>
  <c r="S74"/>
  <c r="S73"/>
  <c r="S72"/>
  <c r="S71"/>
  <c r="AJ69"/>
  <c r="S69"/>
  <c r="P69"/>
  <c r="O69"/>
  <c r="N69"/>
  <c r="M69"/>
  <c r="L69"/>
  <c r="K69"/>
  <c r="J69"/>
  <c r="I69"/>
  <c r="H69"/>
  <c r="G69"/>
  <c r="AJ67"/>
  <c r="AJ68"/>
  <c r="S67"/>
  <c r="P67"/>
  <c r="O67"/>
  <c r="N67"/>
  <c r="M67"/>
  <c r="L67"/>
  <c r="K67"/>
  <c r="J67"/>
  <c r="I67"/>
  <c r="H67"/>
  <c r="G67"/>
  <c r="BA66"/>
  <c r="AZ66"/>
  <c r="AY66"/>
  <c r="AX66"/>
  <c r="AW66"/>
  <c r="AV66"/>
  <c r="AU66"/>
  <c r="AT66"/>
  <c r="AS66"/>
  <c r="AR66"/>
  <c r="AQ66"/>
  <c r="AP66"/>
  <c r="AO66"/>
  <c r="S66"/>
  <c r="BA65"/>
  <c r="AJ65"/>
  <c r="S65"/>
  <c r="BA64"/>
  <c r="AZ64"/>
  <c r="AY64"/>
  <c r="AX64"/>
  <c r="AW64"/>
  <c r="AV64"/>
  <c r="AU64"/>
  <c r="AT64"/>
  <c r="AS64"/>
  <c r="AR64"/>
  <c r="AQ64"/>
  <c r="AP64"/>
  <c r="AO64"/>
  <c r="S64"/>
  <c r="BA63"/>
  <c r="AJ63"/>
  <c r="S63"/>
  <c r="BA62"/>
  <c r="AZ62"/>
  <c r="AY62"/>
  <c r="AX62"/>
  <c r="AW62"/>
  <c r="AV62"/>
  <c r="AU62"/>
  <c r="AT62"/>
  <c r="AS62"/>
  <c r="AR62"/>
  <c r="AQ62"/>
  <c r="AP62"/>
  <c r="AO62"/>
  <c r="AJ62"/>
  <c r="S62"/>
  <c r="BA61"/>
  <c r="AJ61"/>
  <c r="S61"/>
  <c r="R61"/>
  <c r="Q61"/>
  <c r="P61"/>
  <c r="O61"/>
  <c r="N61"/>
  <c r="M61"/>
  <c r="L61"/>
  <c r="K61"/>
  <c r="J61"/>
  <c r="I61"/>
  <c r="H61"/>
  <c r="G61"/>
  <c r="BA60"/>
  <c r="AZ60"/>
  <c r="AY60"/>
  <c r="AX60"/>
  <c r="AW60"/>
  <c r="AV60"/>
  <c r="AU60"/>
  <c r="AT60"/>
  <c r="AS60"/>
  <c r="AR60"/>
  <c r="AQ60"/>
  <c r="AP60"/>
  <c r="AO60"/>
  <c r="AJ60"/>
  <c r="S60"/>
  <c r="BA59"/>
  <c r="AJ59"/>
  <c r="S59"/>
  <c r="P59"/>
  <c r="O59"/>
  <c r="N59"/>
  <c r="M59"/>
  <c r="L59"/>
  <c r="K59"/>
  <c r="J59"/>
  <c r="I59"/>
  <c r="H59"/>
  <c r="G59"/>
  <c r="S57"/>
  <c r="S56"/>
  <c r="S55"/>
  <c r="AJ70"/>
  <c r="Y83"/>
  <c r="Y91"/>
  <c r="AA83"/>
  <c r="AA91"/>
  <c r="AC83"/>
  <c r="AC91"/>
  <c r="AE83"/>
  <c r="AE91"/>
  <c r="AG83"/>
  <c r="AG91"/>
  <c r="X83"/>
  <c r="X91"/>
  <c r="Z83"/>
  <c r="Z91"/>
  <c r="AB83"/>
  <c r="AB91"/>
  <c r="AD83"/>
  <c r="AD91"/>
  <c r="AF83"/>
  <c r="AF91"/>
  <c r="S70"/>
  <c r="S89"/>
  <c r="R83"/>
  <c r="R91"/>
  <c r="Q83"/>
  <c r="Q91"/>
  <c r="S91"/>
  <c r="AJ18" i="6"/>
  <c r="AI17"/>
  <c r="I45" i="37"/>
  <c r="G46"/>
  <c r="AE17" i="5"/>
  <c r="R19" i="4"/>
  <c r="AK8" i="6"/>
  <c r="AK8" i="28"/>
  <c r="AJ8"/>
  <c r="R54" i="16"/>
  <c r="Q54"/>
  <c r="P54"/>
  <c r="O54"/>
  <c r="N54"/>
  <c r="M54"/>
  <c r="L54"/>
  <c r="K54"/>
  <c r="J54"/>
  <c r="I54"/>
  <c r="AK18" i="6"/>
  <c r="AJ17"/>
  <c r="I46" i="37"/>
  <c r="J45"/>
  <c r="J46"/>
  <c r="O7" i="35"/>
  <c r="AF17" i="5"/>
  <c r="S19" i="4"/>
  <c r="AK8" i="35"/>
  <c r="AK7"/>
  <c r="AC7"/>
  <c r="H54" i="16"/>
  <c r="G54"/>
  <c r="R53"/>
  <c r="Q53"/>
  <c r="P53"/>
  <c r="P105"/>
  <c r="O53"/>
  <c r="N53"/>
  <c r="M53"/>
  <c r="L53"/>
  <c r="K53"/>
  <c r="J53"/>
  <c r="I53"/>
  <c r="H53"/>
  <c r="G53"/>
  <c r="S52"/>
  <c r="AI51"/>
  <c r="AI85"/>
  <c r="AI94"/>
  <c r="AH51"/>
  <c r="AH85"/>
  <c r="AH94"/>
  <c r="AG51"/>
  <c r="AG85"/>
  <c r="AG94"/>
  <c r="AF51"/>
  <c r="AF85"/>
  <c r="AF94"/>
  <c r="AE51"/>
  <c r="AE85"/>
  <c r="AE94"/>
  <c r="AD51"/>
  <c r="AD85"/>
  <c r="AD94"/>
  <c r="AC51"/>
  <c r="AC85"/>
  <c r="AC94"/>
  <c r="AB51"/>
  <c r="AB85"/>
  <c r="AB94"/>
  <c r="AA51"/>
  <c r="AA85"/>
  <c r="AA94"/>
  <c r="Z51"/>
  <c r="Z85"/>
  <c r="Z94"/>
  <c r="Y51"/>
  <c r="Y85"/>
  <c r="Y94"/>
  <c r="X51"/>
  <c r="X85"/>
  <c r="X94"/>
  <c r="S94"/>
  <c r="S51"/>
  <c r="R51"/>
  <c r="Q51"/>
  <c r="P51"/>
  <c r="O51"/>
  <c r="N51"/>
  <c r="M51"/>
  <c r="L51"/>
  <c r="K51"/>
  <c r="J51"/>
  <c r="I51"/>
  <c r="H51"/>
  <c r="G51"/>
  <c r="AJ50"/>
  <c r="S50"/>
  <c r="AJ49"/>
  <c r="S49"/>
  <c r="I49"/>
  <c r="H49"/>
  <c r="G49"/>
  <c r="AJ48"/>
  <c r="S48"/>
  <c r="AJ47"/>
  <c r="S47"/>
  <c r="I47"/>
  <c r="H47"/>
  <c r="G47"/>
  <c r="AZ46"/>
  <c r="AY46"/>
  <c r="AX46"/>
  <c r="AW46"/>
  <c r="AV46"/>
  <c r="AU46"/>
  <c r="AT46"/>
  <c r="AS46"/>
  <c r="AR46"/>
  <c r="AQ46"/>
  <c r="AP46"/>
  <c r="AO46"/>
  <c r="AM46"/>
  <c r="V46"/>
  <c r="R46"/>
  <c r="Q46"/>
  <c r="P46"/>
  <c r="O46"/>
  <c r="N46"/>
  <c r="M46"/>
  <c r="L46"/>
  <c r="K46"/>
  <c r="J46"/>
  <c r="I46"/>
  <c r="H46"/>
  <c r="G46"/>
  <c r="E46"/>
  <c r="S44"/>
  <c r="BA43"/>
  <c r="AZ43"/>
  <c r="AY43"/>
  <c r="AX43"/>
  <c r="AW43"/>
  <c r="AV43"/>
  <c r="AU43"/>
  <c r="AT43"/>
  <c r="AS43"/>
  <c r="AR43"/>
  <c r="AQ43"/>
  <c r="AP43"/>
  <c r="AO43"/>
  <c r="AJ43"/>
  <c r="AI43"/>
  <c r="AH43"/>
  <c r="AG43"/>
  <c r="AF43"/>
  <c r="AE43"/>
  <c r="AD43"/>
  <c r="AC43"/>
  <c r="AB43"/>
  <c r="AA43"/>
  <c r="Z43"/>
  <c r="Y43"/>
  <c r="X43"/>
  <c r="S43"/>
  <c r="R43"/>
  <c r="Q43"/>
  <c r="P43"/>
  <c r="O43"/>
  <c r="N43"/>
  <c r="M43"/>
  <c r="L43"/>
  <c r="K43"/>
  <c r="J43"/>
  <c r="I43"/>
  <c r="H43"/>
  <c r="G43"/>
  <c r="BA41"/>
  <c r="AZ41"/>
  <c r="AY41"/>
  <c r="AX41"/>
  <c r="AW41"/>
  <c r="AV41"/>
  <c r="AU41"/>
  <c r="AT41"/>
  <c r="AS41"/>
  <c r="AR41"/>
  <c r="AQ41"/>
  <c r="AP41"/>
  <c r="AO41"/>
  <c r="AJ41"/>
  <c r="AI41"/>
  <c r="AH41"/>
  <c r="AG41"/>
  <c r="AF41"/>
  <c r="AE41"/>
  <c r="AD41"/>
  <c r="AC41"/>
  <c r="AB41"/>
  <c r="AA41"/>
  <c r="Z41"/>
  <c r="Y41"/>
  <c r="X41"/>
  <c r="R41"/>
  <c r="Q41"/>
  <c r="P41"/>
  <c r="O41"/>
  <c r="N41"/>
  <c r="M41"/>
  <c r="L41"/>
  <c r="K41"/>
  <c r="J41"/>
  <c r="I41"/>
  <c r="H41"/>
  <c r="G41"/>
  <c r="P33"/>
  <c r="O33"/>
  <c r="G33"/>
  <c r="P32"/>
  <c r="P34"/>
  <c r="O32"/>
  <c r="G32"/>
  <c r="G34"/>
  <c r="AL18" i="6"/>
  <c r="AL17"/>
  <c r="AK17"/>
  <c r="AJ51" i="16"/>
  <c r="AE106"/>
  <c r="AF106"/>
  <c r="AG17" i="5"/>
  <c r="T19" i="4"/>
  <c r="O34" i="16"/>
  <c r="Q7" i="35"/>
  <c r="O105" i="16"/>
  <c r="N105"/>
  <c r="M105"/>
  <c r="L105"/>
  <c r="K105"/>
  <c r="J105"/>
  <c r="S53"/>
  <c r="D11" i="40"/>
  <c r="AW28" i="16"/>
  <c r="AV28"/>
  <c r="AU28"/>
  <c r="AT28"/>
  <c r="AS28"/>
  <c r="AR28"/>
  <c r="AQ28"/>
  <c r="AP28"/>
  <c r="AO28"/>
  <c r="AK28"/>
  <c r="AJ28"/>
  <c r="AI28"/>
  <c r="AH28"/>
  <c r="AG28"/>
  <c r="AF28"/>
  <c r="AE28"/>
  <c r="AD28"/>
  <c r="AC28"/>
  <c r="AB28"/>
  <c r="AA28"/>
  <c r="Z28"/>
  <c r="Y28"/>
  <c r="X28"/>
  <c r="T28"/>
  <c r="S28"/>
  <c r="R28"/>
  <c r="Q28"/>
  <c r="P28"/>
  <c r="O28"/>
  <c r="N28"/>
  <c r="M28"/>
  <c r="L28"/>
  <c r="K28"/>
  <c r="J28"/>
  <c r="I28"/>
  <c r="H28"/>
  <c r="G28"/>
  <c r="BA27"/>
  <c r="AZ27"/>
  <c r="AY27"/>
  <c r="AX27"/>
  <c r="AW27"/>
  <c r="AV27"/>
  <c r="AU27"/>
  <c r="AT27"/>
  <c r="AS27"/>
  <c r="AR27"/>
  <c r="AQ27"/>
  <c r="AP27"/>
  <c r="AO27"/>
  <c r="AK27"/>
  <c r="AJ27"/>
  <c r="AI27"/>
  <c r="AH27"/>
  <c r="AG27"/>
  <c r="AF27"/>
  <c r="AE27"/>
  <c r="AD27"/>
  <c r="AC27"/>
  <c r="AB27"/>
  <c r="AA27"/>
  <c r="Z27"/>
  <c r="Y27"/>
  <c r="X27"/>
  <c r="T27"/>
  <c r="S27"/>
  <c r="R27"/>
  <c r="Q27"/>
  <c r="P27"/>
  <c r="O27"/>
  <c r="N27"/>
  <c r="M27"/>
  <c r="L27"/>
  <c r="K27"/>
  <c r="J27"/>
  <c r="I27"/>
  <c r="H27"/>
  <c r="G27"/>
  <c r="BA26"/>
  <c r="AZ26"/>
  <c r="AY26"/>
  <c r="AX26"/>
  <c r="AW26"/>
  <c r="AV26"/>
  <c r="AU26"/>
  <c r="AT26"/>
  <c r="AS26"/>
  <c r="AR26"/>
  <c r="AQ26"/>
  <c r="AP26"/>
  <c r="AO26"/>
  <c r="AK26"/>
  <c r="AJ26"/>
  <c r="AI26"/>
  <c r="AH26"/>
  <c r="AG26"/>
  <c r="AF26"/>
  <c r="AE26"/>
  <c r="AD26"/>
  <c r="AC26"/>
  <c r="AB26"/>
  <c r="AA26"/>
  <c r="Z26"/>
  <c r="Y26"/>
  <c r="X26"/>
  <c r="T26"/>
  <c r="S26"/>
  <c r="R26"/>
  <c r="Q26"/>
  <c r="P26"/>
  <c r="O26"/>
  <c r="N26"/>
  <c r="M26"/>
  <c r="L26"/>
  <c r="K26"/>
  <c r="J26"/>
  <c r="I26"/>
  <c r="H26"/>
  <c r="G26"/>
  <c r="AW25"/>
  <c r="AV25"/>
  <c r="AU25"/>
  <c r="AT25"/>
  <c r="AS25"/>
  <c r="AR25"/>
  <c r="AQ25"/>
  <c r="AP25"/>
  <c r="AO25"/>
  <c r="AK25"/>
  <c r="AJ25"/>
  <c r="AI25"/>
  <c r="AH25"/>
  <c r="AG25"/>
  <c r="AF25"/>
  <c r="AE25"/>
  <c r="AD25"/>
  <c r="AC25"/>
  <c r="AB25"/>
  <c r="AA25"/>
  <c r="Z25"/>
  <c r="Y25"/>
  <c r="X25"/>
  <c r="T25"/>
  <c r="S25"/>
  <c r="R25"/>
  <c r="Q25"/>
  <c r="P25"/>
  <c r="O25"/>
  <c r="N25"/>
  <c r="M25"/>
  <c r="L25"/>
  <c r="K25"/>
  <c r="J25"/>
  <c r="I25"/>
  <c r="H25"/>
  <c r="G25"/>
  <c r="R23"/>
  <c r="Q23"/>
  <c r="P23"/>
  <c r="O23"/>
  <c r="N23"/>
  <c r="M23"/>
  <c r="L23"/>
  <c r="K23"/>
  <c r="J23"/>
  <c r="I23"/>
  <c r="H23"/>
  <c r="G23"/>
  <c r="AW22"/>
  <c r="AV22"/>
  <c r="AU22"/>
  <c r="AT22"/>
  <c r="AS22"/>
  <c r="AR22"/>
  <c r="AQ22"/>
  <c r="AP22"/>
  <c r="AO22"/>
  <c r="AJ22"/>
  <c r="AI22"/>
  <c r="AH22"/>
  <c r="AG22"/>
  <c r="AF22"/>
  <c r="AE22"/>
  <c r="AD22"/>
  <c r="AC22"/>
  <c r="AB22"/>
  <c r="AA22"/>
  <c r="Z22"/>
  <c r="Y22"/>
  <c r="X22"/>
  <c r="S22"/>
  <c r="R22"/>
  <c r="Q22"/>
  <c r="P22"/>
  <c r="O22"/>
  <c r="N22"/>
  <c r="M22"/>
  <c r="L22"/>
  <c r="K22"/>
  <c r="J22"/>
  <c r="I22"/>
  <c r="H22"/>
  <c r="G22"/>
  <c r="BA21"/>
  <c r="AZ21"/>
  <c r="AY21"/>
  <c r="AX21"/>
  <c r="AW21"/>
  <c r="AV21"/>
  <c r="AU21"/>
  <c r="AT21"/>
  <c r="AS21"/>
  <c r="AR21"/>
  <c r="AQ21"/>
  <c r="AP21"/>
  <c r="AO21"/>
  <c r="AJ21"/>
  <c r="AI21"/>
  <c r="AH21"/>
  <c r="AG21"/>
  <c r="AF21"/>
  <c r="AE21"/>
  <c r="AD21"/>
  <c r="AC21"/>
  <c r="AB21"/>
  <c r="AA21"/>
  <c r="Z21"/>
  <c r="Y21"/>
  <c r="X21"/>
  <c r="S21"/>
  <c r="R21"/>
  <c r="Q21"/>
  <c r="P21"/>
  <c r="O21"/>
  <c r="N21"/>
  <c r="M21"/>
  <c r="L21"/>
  <c r="K21"/>
  <c r="J21"/>
  <c r="I21"/>
  <c r="H21"/>
  <c r="G21"/>
  <c r="BA20"/>
  <c r="AJ20"/>
  <c r="S20"/>
  <c r="BA19"/>
  <c r="AZ19"/>
  <c r="AY19"/>
  <c r="AX19"/>
  <c r="AR19"/>
  <c r="AQ19"/>
  <c r="AP19"/>
  <c r="AO19"/>
  <c r="AJ19"/>
  <c r="AI19"/>
  <c r="AH19"/>
  <c r="AG19"/>
  <c r="AA19"/>
  <c r="Z19"/>
  <c r="Y19"/>
  <c r="X19"/>
  <c r="S19"/>
  <c r="R19"/>
  <c r="Q19"/>
  <c r="P19"/>
  <c r="J19"/>
  <c r="I19"/>
  <c r="H19"/>
  <c r="G19"/>
  <c r="BA18"/>
  <c r="AW18"/>
  <c r="AV18"/>
  <c r="AU18"/>
  <c r="AT18"/>
  <c r="AS18"/>
  <c r="AJ18"/>
  <c r="AF18"/>
  <c r="AE18"/>
  <c r="AD18"/>
  <c r="AC18"/>
  <c r="AB18"/>
  <c r="S18"/>
  <c r="O18"/>
  <c r="N18"/>
  <c r="M18"/>
  <c r="L18"/>
  <c r="K18"/>
  <c r="BA16"/>
  <c r="AZ16"/>
  <c r="AY16"/>
  <c r="AX16"/>
  <c r="AW16"/>
  <c r="AV16"/>
  <c r="AU16"/>
  <c r="AT16"/>
  <c r="AS16"/>
  <c r="AR16"/>
  <c r="AQ16"/>
  <c r="AP16"/>
  <c r="AO16"/>
  <c r="AJ16"/>
  <c r="AI16"/>
  <c r="AH16"/>
  <c r="AG16"/>
  <c r="AF16"/>
  <c r="AE16"/>
  <c r="AD16"/>
  <c r="AC16"/>
  <c r="AB16"/>
  <c r="AA16"/>
  <c r="Z16"/>
  <c r="Y16"/>
  <c r="X16"/>
  <c r="S16"/>
  <c r="R16"/>
  <c r="Q16"/>
  <c r="P16"/>
  <c r="O16"/>
  <c r="N16"/>
  <c r="M16"/>
  <c r="L16"/>
  <c r="K16"/>
  <c r="J16"/>
  <c r="I16"/>
  <c r="H16"/>
  <c r="G16"/>
  <c r="AW15"/>
  <c r="AV15"/>
  <c r="AU15"/>
  <c r="AT15"/>
  <c r="AS15"/>
  <c r="AR15"/>
  <c r="AQ15"/>
  <c r="AP15"/>
  <c r="AO15"/>
  <c r="AJ15"/>
  <c r="AI15"/>
  <c r="AH15"/>
  <c r="AG15"/>
  <c r="AF15"/>
  <c r="AE15"/>
  <c r="AD15"/>
  <c r="AC15"/>
  <c r="AB15"/>
  <c r="AA15"/>
  <c r="Z15"/>
  <c r="Y15"/>
  <c r="X15"/>
  <c r="S15"/>
  <c r="R15"/>
  <c r="Q15"/>
  <c r="P15"/>
  <c r="O15"/>
  <c r="N15"/>
  <c r="M15"/>
  <c r="L15"/>
  <c r="K15"/>
  <c r="J15"/>
  <c r="I15"/>
  <c r="H15"/>
  <c r="G15"/>
  <c r="BA14"/>
  <c r="AZ14"/>
  <c r="AY14"/>
  <c r="AX14"/>
  <c r="AW14"/>
  <c r="AV14"/>
  <c r="AU14"/>
  <c r="AT14"/>
  <c r="AS14"/>
  <c r="AR14"/>
  <c r="AQ14"/>
  <c r="AP14"/>
  <c r="AO14"/>
  <c r="AJ14"/>
  <c r="AI14"/>
  <c r="AH14"/>
  <c r="AG14"/>
  <c r="AF14"/>
  <c r="AE14"/>
  <c r="AD14"/>
  <c r="AC14"/>
  <c r="AB14"/>
  <c r="AA14"/>
  <c r="Z14"/>
  <c r="Y14"/>
  <c r="X14"/>
  <c r="S14"/>
  <c r="R14"/>
  <c r="Q14"/>
  <c r="P14"/>
  <c r="O14"/>
  <c r="N14"/>
  <c r="M14"/>
  <c r="L14"/>
  <c r="K14"/>
  <c r="J14"/>
  <c r="I14"/>
  <c r="H14"/>
  <c r="G14"/>
  <c r="BA13"/>
  <c r="AJ13"/>
  <c r="S13"/>
  <c r="AZ12"/>
  <c r="AZ15"/>
  <c r="AY12"/>
  <c r="AX12"/>
  <c r="AX15"/>
  <c r="AR12"/>
  <c r="AQ12"/>
  <c r="AP12"/>
  <c r="AO12"/>
  <c r="AJ12"/>
  <c r="AI12"/>
  <c r="AH12"/>
  <c r="AG12"/>
  <c r="AA12"/>
  <c r="Z12"/>
  <c r="Y12"/>
  <c r="X12"/>
  <c r="S12"/>
  <c r="R12"/>
  <c r="Q12"/>
  <c r="P12"/>
  <c r="J12"/>
  <c r="I12"/>
  <c r="H12"/>
  <c r="G12"/>
  <c r="BA11"/>
  <c r="AJ11"/>
  <c r="AF11"/>
  <c r="AE11"/>
  <c r="AD11"/>
  <c r="AC11"/>
  <c r="AB11"/>
  <c r="S11"/>
  <c r="O11"/>
  <c r="N11"/>
  <c r="M11"/>
  <c r="L11"/>
  <c r="K11"/>
  <c r="BA8"/>
  <c r="AZ8"/>
  <c r="AY8"/>
  <c r="AX8"/>
  <c r="AW8"/>
  <c r="AV8"/>
  <c r="AU8"/>
  <c r="AT8"/>
  <c r="AS8"/>
  <c r="AR8"/>
  <c r="AQ8"/>
  <c r="AP8"/>
  <c r="AO8"/>
  <c r="AJ8"/>
  <c r="AI8"/>
  <c r="AH8"/>
  <c r="AG8"/>
  <c r="AF8"/>
  <c r="AE8"/>
  <c r="AD8"/>
  <c r="AC8"/>
  <c r="AB8"/>
  <c r="AA8"/>
  <c r="Z8"/>
  <c r="Y8"/>
  <c r="X8"/>
  <c r="H8"/>
  <c r="G8"/>
  <c r="BA7"/>
  <c r="AJ53"/>
  <c r="AJ54"/>
  <c r="S54"/>
  <c r="AH17" i="5"/>
  <c r="AI18"/>
  <c r="U19" i="4"/>
  <c r="AD106" i="16"/>
  <c r="AY15"/>
  <c r="AZ25"/>
  <c r="AZ28"/>
  <c r="AZ22"/>
  <c r="AJ7"/>
  <c r="BA12"/>
  <c r="X29"/>
  <c r="X40"/>
  <c r="R105"/>
  <c r="Q105"/>
  <c r="S105"/>
  <c r="S106"/>
  <c r="O106"/>
  <c r="N106"/>
  <c r="M106"/>
  <c r="L106"/>
  <c r="K106"/>
  <c r="J106"/>
  <c r="I106"/>
  <c r="H106"/>
  <c r="H9"/>
  <c r="G7"/>
  <c r="G9"/>
  <c r="BA6"/>
  <c r="AZ6"/>
  <c r="AY6"/>
  <c r="AX6"/>
  <c r="AW6"/>
  <c r="AV6"/>
  <c r="AU6"/>
  <c r="AT6"/>
  <c r="AS6"/>
  <c r="AR6"/>
  <c r="AQ6"/>
  <c r="AP6"/>
  <c r="AO6"/>
  <c r="AJ6"/>
  <c r="AI6"/>
  <c r="AH6"/>
  <c r="AG6"/>
  <c r="AF6"/>
  <c r="AE6"/>
  <c r="AD6"/>
  <c r="AC6"/>
  <c r="AB6"/>
  <c r="AA6"/>
  <c r="Z6"/>
  <c r="Y6"/>
  <c r="X6"/>
  <c r="R6"/>
  <c r="Q6"/>
  <c r="P6"/>
  <c r="O6"/>
  <c r="N6"/>
  <c r="M6"/>
  <c r="L6"/>
  <c r="K6"/>
  <c r="J6"/>
  <c r="I6"/>
  <c r="H6"/>
  <c r="G6"/>
  <c r="BA5"/>
  <c r="AZ5"/>
  <c r="AY5"/>
  <c r="AX5"/>
  <c r="AW5"/>
  <c r="AV5"/>
  <c r="AU5"/>
  <c r="AT5"/>
  <c r="AS5"/>
  <c r="AR5"/>
  <c r="AQ5"/>
  <c r="AP5"/>
  <c r="AO5"/>
  <c r="AJ5"/>
  <c r="AI5"/>
  <c r="AH5"/>
  <c r="AG5"/>
  <c r="AF5"/>
  <c r="AE5"/>
  <c r="AD5"/>
  <c r="AC5"/>
  <c r="AB5"/>
  <c r="AA5"/>
  <c r="Z5"/>
  <c r="Y5"/>
  <c r="X5"/>
  <c r="AJ18" i="5"/>
  <c r="AI17"/>
  <c r="V19" i="4"/>
  <c r="AC106" i="16"/>
  <c r="AO29"/>
  <c r="AO40"/>
  <c r="AY25"/>
  <c r="AY22"/>
  <c r="AK90"/>
  <c r="AJ90"/>
  <c r="X108"/>
  <c r="AY28"/>
  <c r="S5"/>
  <c r="Q5"/>
  <c r="P5"/>
  <c r="O5"/>
  <c r="N5"/>
  <c r="M5"/>
  <c r="L5"/>
  <c r="K5"/>
  <c r="J5"/>
  <c r="I5"/>
  <c r="H5"/>
  <c r="G5"/>
  <c r="BA4"/>
  <c r="AZ4"/>
  <c r="AY4"/>
  <c r="AX4"/>
  <c r="AW4"/>
  <c r="AV4"/>
  <c r="AU4"/>
  <c r="AT4"/>
  <c r="AS4"/>
  <c r="AR4"/>
  <c r="AQ4"/>
  <c r="AP4"/>
  <c r="AO4"/>
  <c r="AJ4"/>
  <c r="AI4"/>
  <c r="AH4"/>
  <c r="AG4"/>
  <c r="AF4"/>
  <c r="AE4"/>
  <c r="AD4"/>
  <c r="AC4"/>
  <c r="AB4"/>
  <c r="AA4"/>
  <c r="Z4"/>
  <c r="Y4"/>
  <c r="X4"/>
  <c r="H4"/>
  <c r="G4"/>
  <c r="BA3"/>
  <c r="AZ3"/>
  <c r="AY3"/>
  <c r="AX3"/>
  <c r="AW3"/>
  <c r="AV3"/>
  <c r="AU3"/>
  <c r="AT3"/>
  <c r="AS3"/>
  <c r="AR3"/>
  <c r="AQ3"/>
  <c r="AP3"/>
  <c r="AO3"/>
  <c r="AJ3"/>
  <c r="AI3"/>
  <c r="AH3"/>
  <c r="AG3"/>
  <c r="AF3"/>
  <c r="AE3"/>
  <c r="AD3"/>
  <c r="AC3"/>
  <c r="AB3"/>
  <c r="AA3"/>
  <c r="Z3"/>
  <c r="Y3"/>
  <c r="X3"/>
  <c r="H3"/>
  <c r="G3"/>
  <c r="BA1"/>
  <c r="AJ1"/>
  <c r="S1"/>
  <c r="M368" i="38"/>
  <c r="L368"/>
  <c r="K368"/>
  <c r="J368"/>
  <c r="I368"/>
  <c r="H368"/>
  <c r="G368"/>
  <c r="F368"/>
  <c r="E368"/>
  <c r="D368"/>
  <c r="C368"/>
  <c r="B368"/>
  <c r="N366"/>
  <c r="M280"/>
  <c r="M359"/>
  <c r="M281"/>
  <c r="M360"/>
  <c r="L280"/>
  <c r="L359"/>
  <c r="L363"/>
  <c r="L281"/>
  <c r="L360"/>
  <c r="M276"/>
  <c r="M355"/>
  <c r="M277"/>
  <c r="M356"/>
  <c r="M278"/>
  <c r="M357"/>
  <c r="M279"/>
  <c r="M358"/>
  <c r="L276"/>
  <c r="L355"/>
  <c r="L362"/>
  <c r="L277"/>
  <c r="L356"/>
  <c r="L361"/>
  <c r="L278"/>
  <c r="L357"/>
  <c r="L279"/>
  <c r="L358"/>
  <c r="M283"/>
  <c r="M282"/>
  <c r="M285"/>
  <c r="L283"/>
  <c r="L282"/>
  <c r="L285"/>
  <c r="AJ17" i="5"/>
  <c r="AK18"/>
  <c r="W19" i="4"/>
  <c r="AB106" i="16"/>
  <c r="AK88"/>
  <c r="AK87"/>
  <c r="AJ87"/>
  <c r="AK86"/>
  <c r="R5"/>
  <c r="T89"/>
  <c r="T90"/>
  <c r="AI40"/>
  <c r="AI29"/>
  <c r="AO108"/>
  <c r="T5"/>
  <c r="M284" i="38"/>
  <c r="L284"/>
  <c r="K281"/>
  <c r="K360"/>
  <c r="J281"/>
  <c r="J360"/>
  <c r="I281"/>
  <c r="I360"/>
  <c r="AL18" i="5"/>
  <c r="AL17"/>
  <c r="AK17"/>
  <c r="X19" i="4"/>
  <c r="AA106" i="16"/>
  <c r="AX40"/>
  <c r="AI108"/>
  <c r="AH29"/>
  <c r="AH40"/>
  <c r="K280" i="38"/>
  <c r="J280"/>
  <c r="I280"/>
  <c r="K279"/>
  <c r="K358"/>
  <c r="J279"/>
  <c r="J358"/>
  <c r="I279"/>
  <c r="I358"/>
  <c r="K278"/>
  <c r="K357"/>
  <c r="J278"/>
  <c r="J357"/>
  <c r="I278"/>
  <c r="I357"/>
  <c r="K277"/>
  <c r="K356"/>
  <c r="J277"/>
  <c r="K276"/>
  <c r="J276"/>
  <c r="I276"/>
  <c r="D243"/>
  <c r="C243"/>
  <c r="B243"/>
  <c r="K359"/>
  <c r="K363"/>
  <c r="K284"/>
  <c r="K355"/>
  <c r="K282"/>
  <c r="J359"/>
  <c r="J363"/>
  <c r="J284"/>
  <c r="I277"/>
  <c r="I356"/>
  <c r="J356"/>
  <c r="J355"/>
  <c r="J283"/>
  <c r="J282"/>
  <c r="I359"/>
  <c r="I363"/>
  <c r="I284"/>
  <c r="I355"/>
  <c r="I282"/>
  <c r="Y19" i="4"/>
  <c r="Z106" i="16"/>
  <c r="AW29"/>
  <c r="AW40"/>
  <c r="AG40"/>
  <c r="AG29"/>
  <c r="AR40"/>
  <c r="AR29"/>
  <c r="AH108"/>
  <c r="AX108"/>
  <c r="H242" i="38"/>
  <c r="G242"/>
  <c r="F242"/>
  <c r="J285"/>
  <c r="Z19" i="4"/>
  <c r="Y106" i="16"/>
  <c r="X106"/>
  <c r="AJ105"/>
  <c r="AR108"/>
  <c r="AV40"/>
  <c r="AV29"/>
  <c r="AP40"/>
  <c r="AP29"/>
  <c r="Y40"/>
  <c r="Y29"/>
  <c r="AG108"/>
  <c r="AW108"/>
  <c r="AQ29"/>
  <c r="AQ40"/>
  <c r="AA40"/>
  <c r="AA29"/>
  <c r="E242" i="38"/>
  <c r="D242"/>
  <c r="C242"/>
  <c r="B242"/>
  <c r="B241"/>
  <c r="D213"/>
  <c r="C213"/>
  <c r="B213"/>
  <c r="H212"/>
  <c r="G212"/>
  <c r="F212"/>
  <c r="E212"/>
  <c r="D212"/>
  <c r="C212"/>
  <c r="B212"/>
  <c r="N211"/>
  <c r="H211"/>
  <c r="G211"/>
  <c r="F211"/>
  <c r="E211"/>
  <c r="D211"/>
  <c r="AA19" i="4"/>
  <c r="AA108" i="16"/>
  <c r="AQ108"/>
  <c r="Y108"/>
  <c r="AP108"/>
  <c r="AU29"/>
  <c r="AU40"/>
  <c r="Z29"/>
  <c r="Z40"/>
  <c r="AV108"/>
  <c r="C211" i="38"/>
  <c r="B211"/>
  <c r="D183"/>
  <c r="C183"/>
  <c r="B183"/>
  <c r="H182"/>
  <c r="G182"/>
  <c r="F182"/>
  <c r="E182"/>
  <c r="D182"/>
  <c r="C182"/>
  <c r="B182"/>
  <c r="N181"/>
  <c r="H181"/>
  <c r="H281"/>
  <c r="G181"/>
  <c r="G281"/>
  <c r="G360"/>
  <c r="F181"/>
  <c r="F281"/>
  <c r="E181"/>
  <c r="D181"/>
  <c r="C181"/>
  <c r="B281"/>
  <c r="B181"/>
  <c r="D153"/>
  <c r="C153"/>
  <c r="B153"/>
  <c r="H152"/>
  <c r="G152"/>
  <c r="F152"/>
  <c r="E152"/>
  <c r="D152"/>
  <c r="C152"/>
  <c r="B152"/>
  <c r="N151"/>
  <c r="H151"/>
  <c r="H280"/>
  <c r="G151"/>
  <c r="G280"/>
  <c r="G284"/>
  <c r="F151"/>
  <c r="F280"/>
  <c r="E151"/>
  <c r="E280"/>
  <c r="D151"/>
  <c r="D280"/>
  <c r="C151"/>
  <c r="C280"/>
  <c r="B151"/>
  <c r="D123"/>
  <c r="C123"/>
  <c r="B123"/>
  <c r="H122"/>
  <c r="G122"/>
  <c r="F122"/>
  <c r="E122"/>
  <c r="D122"/>
  <c r="C122"/>
  <c r="B122"/>
  <c r="B121"/>
  <c r="D93"/>
  <c r="C93"/>
  <c r="B93"/>
  <c r="H92"/>
  <c r="G92"/>
  <c r="F92"/>
  <c r="E92"/>
  <c r="D92"/>
  <c r="C92"/>
  <c r="B92"/>
  <c r="C91"/>
  <c r="C279"/>
  <c r="B91"/>
  <c r="D63"/>
  <c r="C63"/>
  <c r="B63"/>
  <c r="H62"/>
  <c r="G62"/>
  <c r="F62"/>
  <c r="E62"/>
  <c r="D62"/>
  <c r="C62"/>
  <c r="B62"/>
  <c r="C61"/>
  <c r="C278"/>
  <c r="B61"/>
  <c r="D33"/>
  <c r="C33"/>
  <c r="B33"/>
  <c r="H32"/>
  <c r="G32"/>
  <c r="F32"/>
  <c r="E32"/>
  <c r="D32"/>
  <c r="C32"/>
  <c r="B32"/>
  <c r="C31"/>
  <c r="B31"/>
  <c r="D4"/>
  <c r="C4"/>
  <c r="B4"/>
  <c r="H3"/>
  <c r="G3"/>
  <c r="F3"/>
  <c r="E3"/>
  <c r="D3"/>
  <c r="C3"/>
  <c r="B3"/>
  <c r="C2"/>
  <c r="B2"/>
  <c r="E193" i="14"/>
  <c r="D193"/>
  <c r="E192"/>
  <c r="D192"/>
  <c r="E191"/>
  <c r="D191"/>
  <c r="E190"/>
  <c r="D190"/>
  <c r="E189"/>
  <c r="D189"/>
  <c r="E188"/>
  <c r="D188"/>
  <c r="E187"/>
  <c r="D187"/>
  <c r="E186"/>
  <c r="D186"/>
  <c r="F185"/>
  <c r="E185"/>
  <c r="D185"/>
  <c r="F184"/>
  <c r="E184"/>
  <c r="D184"/>
  <c r="F182"/>
  <c r="E182"/>
  <c r="D182"/>
  <c r="K181"/>
  <c r="J181"/>
  <c r="I181"/>
  <c r="H181"/>
  <c r="G181"/>
  <c r="F181"/>
  <c r="E181"/>
  <c r="D181"/>
  <c r="K180"/>
  <c r="J180"/>
  <c r="I180"/>
  <c r="H180"/>
  <c r="G180"/>
  <c r="F180"/>
  <c r="E180"/>
  <c r="D180"/>
  <c r="K179"/>
  <c r="J179"/>
  <c r="I179"/>
  <c r="H179"/>
  <c r="G179"/>
  <c r="F179"/>
  <c r="E179"/>
  <c r="D179"/>
  <c r="K178"/>
  <c r="J178"/>
  <c r="I178"/>
  <c r="H178"/>
  <c r="G178"/>
  <c r="F178"/>
  <c r="E178"/>
  <c r="D178"/>
  <c r="F177"/>
  <c r="E177"/>
  <c r="D177"/>
  <c r="F176"/>
  <c r="E176"/>
  <c r="D176"/>
  <c r="E175"/>
  <c r="D175"/>
  <c r="F174"/>
  <c r="E174"/>
  <c r="D174"/>
  <c r="K173"/>
  <c r="J173"/>
  <c r="I173"/>
  <c r="H173"/>
  <c r="G173"/>
  <c r="F173"/>
  <c r="E173"/>
  <c r="D173"/>
  <c r="K172"/>
  <c r="J172"/>
  <c r="I172"/>
  <c r="H172"/>
  <c r="G172"/>
  <c r="F172"/>
  <c r="E172"/>
  <c r="D172"/>
  <c r="K171"/>
  <c r="J171"/>
  <c r="I171"/>
  <c r="H171"/>
  <c r="G171"/>
  <c r="F171"/>
  <c r="E171"/>
  <c r="D171"/>
  <c r="M170"/>
  <c r="M171"/>
  <c r="L170"/>
  <c r="L172"/>
  <c r="K170"/>
  <c r="J170"/>
  <c r="I170"/>
  <c r="H170"/>
  <c r="G170"/>
  <c r="F170"/>
  <c r="E170"/>
  <c r="D170"/>
  <c r="E165"/>
  <c r="D165"/>
  <c r="E164"/>
  <c r="D164"/>
  <c r="E163"/>
  <c r="D163"/>
  <c r="E162"/>
  <c r="D162"/>
  <c r="F161"/>
  <c r="E161"/>
  <c r="D161"/>
  <c r="F160"/>
  <c r="E160"/>
  <c r="D160"/>
  <c r="F159"/>
  <c r="E159"/>
  <c r="D159"/>
  <c r="F158"/>
  <c r="E158"/>
  <c r="D158"/>
  <c r="K157"/>
  <c r="J157"/>
  <c r="I157"/>
  <c r="H157"/>
  <c r="G157"/>
  <c r="F157"/>
  <c r="E157"/>
  <c r="D157"/>
  <c r="K156"/>
  <c r="J156"/>
  <c r="I156"/>
  <c r="H156"/>
  <c r="G156"/>
  <c r="F156"/>
  <c r="E156"/>
  <c r="D156"/>
  <c r="K155"/>
  <c r="J155"/>
  <c r="I155"/>
  <c r="H155"/>
  <c r="G155"/>
  <c r="F155"/>
  <c r="E155"/>
  <c r="D155"/>
  <c r="M154"/>
  <c r="M155"/>
  <c r="L154"/>
  <c r="L155"/>
  <c r="K154"/>
  <c r="J154"/>
  <c r="I154"/>
  <c r="H154"/>
  <c r="G154"/>
  <c r="F154"/>
  <c r="E154"/>
  <c r="D154"/>
  <c r="E153"/>
  <c r="D153"/>
  <c r="E152"/>
  <c r="D152"/>
  <c r="E151"/>
  <c r="D151"/>
  <c r="E150"/>
  <c r="D150"/>
  <c r="E149"/>
  <c r="D149"/>
  <c r="E148"/>
  <c r="D148"/>
  <c r="E147"/>
  <c r="D147"/>
  <c r="E146"/>
  <c r="D146"/>
  <c r="E145"/>
  <c r="D145"/>
  <c r="D144"/>
  <c r="E143"/>
  <c r="D143"/>
  <c r="E142"/>
  <c r="D142"/>
  <c r="E141"/>
  <c r="D141"/>
  <c r="E140"/>
  <c r="D140"/>
  <c r="E139"/>
  <c r="D139"/>
  <c r="E138"/>
  <c r="D138"/>
  <c r="E137"/>
  <c r="D137"/>
  <c r="E136"/>
  <c r="D136"/>
  <c r="E135"/>
  <c r="D135"/>
  <c r="E134"/>
  <c r="D134"/>
  <c r="E133"/>
  <c r="D133"/>
  <c r="E132"/>
  <c r="D132"/>
  <c r="E131"/>
  <c r="D131"/>
  <c r="E130"/>
  <c r="D130"/>
  <c r="E129"/>
  <c r="D129"/>
  <c r="E128"/>
  <c r="D128"/>
  <c r="E127"/>
  <c r="D127"/>
  <c r="E126"/>
  <c r="D126"/>
  <c r="E125"/>
  <c r="D125"/>
  <c r="M172"/>
  <c r="M173"/>
  <c r="L173"/>
  <c r="L171"/>
  <c r="AB19" i="4"/>
  <c r="E281" i="38"/>
  <c r="B360"/>
  <c r="D281"/>
  <c r="AT40" i="16"/>
  <c r="AT29"/>
  <c r="E360" i="38"/>
  <c r="B278"/>
  <c r="B279"/>
  <c r="B280"/>
  <c r="H359"/>
  <c r="Z108" i="16"/>
  <c r="AU108"/>
  <c r="AC19" i="4"/>
  <c r="G359" i="38"/>
  <c r="G363"/>
  <c r="AY40" i="16"/>
  <c r="AY29"/>
  <c r="AS29"/>
  <c r="AS40"/>
  <c r="BA39"/>
  <c r="BA40"/>
  <c r="AC40"/>
  <c r="AC29"/>
  <c r="B359" i="38"/>
  <c r="C276"/>
  <c r="B284"/>
  <c r="AZ40" i="16"/>
  <c r="AZ29"/>
  <c r="AT108"/>
  <c r="C281" i="38"/>
  <c r="D360"/>
  <c r="AD19" i="4"/>
  <c r="AZ108" i="16"/>
  <c r="AC108"/>
  <c r="AY108"/>
  <c r="C360" i="38"/>
  <c r="B363"/>
  <c r="B276"/>
  <c r="C355"/>
  <c r="C277"/>
  <c r="AS108" i="16"/>
  <c r="BA107"/>
  <c r="BA108"/>
  <c r="G127"/>
  <c r="BA115"/>
  <c r="BA109"/>
  <c r="AE19" i="4"/>
  <c r="B355" i="38"/>
  <c r="B277"/>
  <c r="B282"/>
  <c r="B286"/>
  <c r="B283"/>
  <c r="E124" i="14"/>
  <c r="D124"/>
  <c r="D123"/>
  <c r="E122"/>
  <c r="D122"/>
  <c r="E121"/>
  <c r="D121"/>
  <c r="E120"/>
  <c r="D120"/>
  <c r="E119"/>
  <c r="D119"/>
  <c r="E118"/>
  <c r="D118"/>
  <c r="D117"/>
  <c r="D116"/>
  <c r="E114"/>
  <c r="D114"/>
  <c r="D110"/>
  <c r="F109"/>
  <c r="E109"/>
  <c r="D109"/>
  <c r="D108"/>
  <c r="AF19" i="4"/>
  <c r="B285" i="38"/>
  <c r="K107" i="14"/>
  <c r="J107"/>
  <c r="I107"/>
  <c r="H107"/>
  <c r="G107"/>
  <c r="F107"/>
  <c r="E107"/>
  <c r="D107"/>
  <c r="D106"/>
  <c r="F105"/>
  <c r="AG19" i="4"/>
  <c r="E105" i="14"/>
  <c r="D105"/>
  <c r="E104"/>
  <c r="D104"/>
  <c r="M103"/>
  <c r="M178"/>
  <c r="M179"/>
  <c r="L103"/>
  <c r="L178"/>
  <c r="K103"/>
  <c r="J103"/>
  <c r="I103"/>
  <c r="H103"/>
  <c r="G103"/>
  <c r="F103"/>
  <c r="E103"/>
  <c r="D103"/>
  <c r="D102"/>
  <c r="F101"/>
  <c r="E101"/>
  <c r="D101"/>
  <c r="D100"/>
  <c r="P99"/>
  <c r="N182" i="38"/>
  <c r="D98" i="14"/>
  <c r="P97"/>
  <c r="D96"/>
  <c r="F95"/>
  <c r="E95"/>
  <c r="D95"/>
  <c r="D94"/>
  <c r="P93"/>
  <c r="E92"/>
  <c r="D92"/>
  <c r="F91"/>
  <c r="E91"/>
  <c r="D91"/>
  <c r="E90"/>
  <c r="D90"/>
  <c r="M89"/>
  <c r="M107"/>
  <c r="L89"/>
  <c r="K89"/>
  <c r="J89"/>
  <c r="I89"/>
  <c r="H89"/>
  <c r="G89"/>
  <c r="F89"/>
  <c r="E89"/>
  <c r="D89"/>
  <c r="D88"/>
  <c r="F87"/>
  <c r="E87"/>
  <c r="D87"/>
  <c r="D86"/>
  <c r="P85"/>
  <c r="D84"/>
  <c r="F83"/>
  <c r="E83"/>
  <c r="D83"/>
  <c r="D82"/>
  <c r="P81"/>
  <c r="D80"/>
  <c r="F79"/>
  <c r="E79"/>
  <c r="D79"/>
  <c r="D78"/>
  <c r="P77"/>
  <c r="N32" i="38"/>
  <c r="D76" i="14"/>
  <c r="F75"/>
  <c r="E75"/>
  <c r="D75"/>
  <c r="D74"/>
  <c r="P73"/>
  <c r="AU70"/>
  <c r="AT70"/>
  <c r="AS70"/>
  <c r="AR70"/>
  <c r="AQ70"/>
  <c r="AP70"/>
  <c r="AO70"/>
  <c r="AN70"/>
  <c r="AM70"/>
  <c r="AL70"/>
  <c r="AK70"/>
  <c r="AJ70"/>
  <c r="AE70"/>
  <c r="AD70"/>
  <c r="AC70"/>
  <c r="AB70"/>
  <c r="AA70"/>
  <c r="Z70"/>
  <c r="Y70"/>
  <c r="X70"/>
  <c r="W70"/>
  <c r="V70"/>
  <c r="U70"/>
  <c r="T70"/>
  <c r="O70"/>
  <c r="N70"/>
  <c r="M70"/>
  <c r="L70"/>
  <c r="K70"/>
  <c r="J70"/>
  <c r="I70"/>
  <c r="H70"/>
  <c r="G70"/>
  <c r="F70"/>
  <c r="E70"/>
  <c r="D70"/>
  <c r="AU69"/>
  <c r="AT69"/>
  <c r="AS69"/>
  <c r="AR69"/>
  <c r="AQ69"/>
  <c r="AP69"/>
  <c r="AO69"/>
  <c r="AN69"/>
  <c r="AM69"/>
  <c r="AL69"/>
  <c r="AK69"/>
  <c r="AJ69"/>
  <c r="AE69"/>
  <c r="AD69"/>
  <c r="AC69"/>
  <c r="AB69"/>
  <c r="AA69"/>
  <c r="Z69"/>
  <c r="Y69"/>
  <c r="X69"/>
  <c r="W69"/>
  <c r="V69"/>
  <c r="U69"/>
  <c r="T69"/>
  <c r="E69"/>
  <c r="D69"/>
  <c r="AV68"/>
  <c r="AU68"/>
  <c r="AT68"/>
  <c r="AS68"/>
  <c r="AR68"/>
  <c r="AQ68"/>
  <c r="AP68"/>
  <c r="AO68"/>
  <c r="AN68"/>
  <c r="AM68"/>
  <c r="AL68"/>
  <c r="AK68"/>
  <c r="AJ68"/>
  <c r="AF68"/>
  <c r="AE68"/>
  <c r="AD68"/>
  <c r="AC68"/>
  <c r="AB68"/>
  <c r="AA68"/>
  <c r="Z68"/>
  <c r="Y68"/>
  <c r="X68"/>
  <c r="W68"/>
  <c r="V68"/>
  <c r="U68"/>
  <c r="T68"/>
  <c r="E68"/>
  <c r="D68"/>
  <c r="B68"/>
  <c r="A68"/>
  <c r="AU67"/>
  <c r="AT67"/>
  <c r="AS67"/>
  <c r="AR67"/>
  <c r="AQ67"/>
  <c r="AP67"/>
  <c r="AO67"/>
  <c r="AN67"/>
  <c r="AM67"/>
  <c r="AL67"/>
  <c r="AK67"/>
  <c r="AJ67"/>
  <c r="AE67"/>
  <c r="AD67"/>
  <c r="AC67"/>
  <c r="AB67"/>
  <c r="AA67"/>
  <c r="Z67"/>
  <c r="Y67"/>
  <c r="X67"/>
  <c r="W67"/>
  <c r="V67"/>
  <c r="U67"/>
  <c r="T67"/>
  <c r="D67"/>
  <c r="B67"/>
  <c r="A67"/>
  <c r="AV66"/>
  <c r="AU66"/>
  <c r="AT66"/>
  <c r="AS66"/>
  <c r="AR66"/>
  <c r="AQ66"/>
  <c r="AP66"/>
  <c r="AO66"/>
  <c r="AN66"/>
  <c r="AM66"/>
  <c r="AL66"/>
  <c r="AK66"/>
  <c r="AJ66"/>
  <c r="AH66"/>
  <c r="AG66"/>
  <c r="AF66"/>
  <c r="AE66"/>
  <c r="AD66"/>
  <c r="AC66"/>
  <c r="AB66"/>
  <c r="AA66"/>
  <c r="Z66"/>
  <c r="Y66"/>
  <c r="X66"/>
  <c r="W66"/>
  <c r="V66"/>
  <c r="U66"/>
  <c r="T66"/>
  <c r="R66"/>
  <c r="Q66"/>
  <c r="E66"/>
  <c r="D66"/>
  <c r="AU65"/>
  <c r="AT65"/>
  <c r="AS65"/>
  <c r="AR65"/>
  <c r="AQ65"/>
  <c r="AP65"/>
  <c r="AO65"/>
  <c r="AN65"/>
  <c r="AM65"/>
  <c r="AL65"/>
  <c r="AK65"/>
  <c r="AJ65"/>
  <c r="AE65"/>
  <c r="AD65"/>
  <c r="AC65"/>
  <c r="AB65"/>
  <c r="AA65"/>
  <c r="Z65"/>
  <c r="Y65"/>
  <c r="X65"/>
  <c r="W65"/>
  <c r="V65"/>
  <c r="U65"/>
  <c r="T65"/>
  <c r="D65"/>
  <c r="B65"/>
  <c r="A65"/>
  <c r="AV64"/>
  <c r="AU64"/>
  <c r="AT64"/>
  <c r="AS64"/>
  <c r="AR64"/>
  <c r="AQ64"/>
  <c r="AP64"/>
  <c r="AO64"/>
  <c r="AN64"/>
  <c r="AM64"/>
  <c r="AL64"/>
  <c r="AK64"/>
  <c r="AJ64"/>
  <c r="AF64"/>
  <c r="AE64"/>
  <c r="AD64"/>
  <c r="AC64"/>
  <c r="AB64"/>
  <c r="AA64"/>
  <c r="Z64"/>
  <c r="Y64"/>
  <c r="X64"/>
  <c r="W64"/>
  <c r="V64"/>
  <c r="U64"/>
  <c r="T64"/>
  <c r="P64"/>
  <c r="O64"/>
  <c r="N64"/>
  <c r="M64"/>
  <c r="L64"/>
  <c r="K64"/>
  <c r="J64"/>
  <c r="I64"/>
  <c r="H64"/>
  <c r="G64"/>
  <c r="F64"/>
  <c r="E64"/>
  <c r="D64"/>
  <c r="AU63"/>
  <c r="AT63"/>
  <c r="AS63"/>
  <c r="AR63"/>
  <c r="AQ63"/>
  <c r="AP63"/>
  <c r="AO63"/>
  <c r="AN63"/>
  <c r="AM63"/>
  <c r="AL63"/>
  <c r="AK63"/>
  <c r="AJ63"/>
  <c r="AE63"/>
  <c r="AD63"/>
  <c r="AC63"/>
  <c r="AB63"/>
  <c r="AA63"/>
  <c r="Z63"/>
  <c r="Y63"/>
  <c r="X63"/>
  <c r="W63"/>
  <c r="V63"/>
  <c r="U63"/>
  <c r="T63"/>
  <c r="E63"/>
  <c r="D63"/>
  <c r="AV62"/>
  <c r="AU62"/>
  <c r="AT62"/>
  <c r="AS62"/>
  <c r="AR62"/>
  <c r="AQ62"/>
  <c r="AP62"/>
  <c r="AO62"/>
  <c r="AN62"/>
  <c r="AM62"/>
  <c r="AL62"/>
  <c r="AK62"/>
  <c r="AJ62"/>
  <c r="AH62"/>
  <c r="AG62"/>
  <c r="AF62"/>
  <c r="AE62"/>
  <c r="AD62"/>
  <c r="AC62"/>
  <c r="AB62"/>
  <c r="AA62"/>
  <c r="Z62"/>
  <c r="Y62"/>
  <c r="X62"/>
  <c r="W62"/>
  <c r="V62"/>
  <c r="U62"/>
  <c r="T62"/>
  <c r="R62"/>
  <c r="Q62"/>
  <c r="E62"/>
  <c r="D62"/>
  <c r="AU61"/>
  <c r="AT61"/>
  <c r="AS61"/>
  <c r="AR61"/>
  <c r="AQ61"/>
  <c r="AP61"/>
  <c r="AO61"/>
  <c r="AN61"/>
  <c r="AM61"/>
  <c r="AL61"/>
  <c r="AK61"/>
  <c r="AJ61"/>
  <c r="AE61"/>
  <c r="AD61"/>
  <c r="AC61"/>
  <c r="AB61"/>
  <c r="AA61"/>
  <c r="Z61"/>
  <c r="Y61"/>
  <c r="X61"/>
  <c r="W61"/>
  <c r="V61"/>
  <c r="U61"/>
  <c r="T61"/>
  <c r="O61"/>
  <c r="N61"/>
  <c r="M61"/>
  <c r="L61"/>
  <c r="K61"/>
  <c r="J61"/>
  <c r="I61"/>
  <c r="H61"/>
  <c r="G61"/>
  <c r="F61"/>
  <c r="E61"/>
  <c r="D61"/>
  <c r="AV60"/>
  <c r="AF60"/>
  <c r="Q60"/>
  <c r="P60"/>
  <c r="AU59"/>
  <c r="AT59"/>
  <c r="AS59"/>
  <c r="AR59"/>
  <c r="AQ59"/>
  <c r="AP59"/>
  <c r="AO59"/>
  <c r="AN59"/>
  <c r="AM59"/>
  <c r="AL59"/>
  <c r="AK59"/>
  <c r="AJ59"/>
  <c r="AE59"/>
  <c r="AD59"/>
  <c r="AC59"/>
  <c r="AB59"/>
  <c r="AA59"/>
  <c r="Z59"/>
  <c r="Y59"/>
  <c r="X59"/>
  <c r="W59"/>
  <c r="V59"/>
  <c r="U59"/>
  <c r="T59"/>
  <c r="O59"/>
  <c r="N59"/>
  <c r="M59"/>
  <c r="L59"/>
  <c r="K59"/>
  <c r="J59"/>
  <c r="I59"/>
  <c r="H59"/>
  <c r="G59"/>
  <c r="F59"/>
  <c r="E59"/>
  <c r="D59"/>
  <c r="AV58"/>
  <c r="AU58"/>
  <c r="AT58"/>
  <c r="AS58"/>
  <c r="AR58"/>
  <c r="AQ58"/>
  <c r="AP58"/>
  <c r="AO58"/>
  <c r="AN58"/>
  <c r="AM58"/>
  <c r="AL58"/>
  <c r="AK58"/>
  <c r="AJ58"/>
  <c r="AF58"/>
  <c r="AE58"/>
  <c r="AD58"/>
  <c r="AC58"/>
  <c r="AB58"/>
  <c r="AA58"/>
  <c r="Z58"/>
  <c r="Y58"/>
  <c r="X58"/>
  <c r="W58"/>
  <c r="V58"/>
  <c r="U58"/>
  <c r="T58"/>
  <c r="P58"/>
  <c r="AU57"/>
  <c r="AT57"/>
  <c r="AS57"/>
  <c r="AR57"/>
  <c r="AQ57"/>
  <c r="AP57"/>
  <c r="AO57"/>
  <c r="AN57"/>
  <c r="AM57"/>
  <c r="AL57"/>
  <c r="AK57"/>
  <c r="AJ57"/>
  <c r="AE57"/>
  <c r="AD57"/>
  <c r="AC57"/>
  <c r="AB57"/>
  <c r="AA57"/>
  <c r="Z57"/>
  <c r="Y57"/>
  <c r="X57"/>
  <c r="W57"/>
  <c r="V57"/>
  <c r="U57"/>
  <c r="T57"/>
  <c r="D57"/>
  <c r="AV56"/>
  <c r="AU56"/>
  <c r="AT56"/>
  <c r="AS56"/>
  <c r="AR56"/>
  <c r="AQ56"/>
  <c r="AP56"/>
  <c r="AO56"/>
  <c r="AN56"/>
  <c r="AM56"/>
  <c r="AL56"/>
  <c r="AK56"/>
  <c r="AJ56"/>
  <c r="AH56"/>
  <c r="AG56"/>
  <c r="AF56"/>
  <c r="AE56"/>
  <c r="AD56"/>
  <c r="AC56"/>
  <c r="AB56"/>
  <c r="AA56"/>
  <c r="Z56"/>
  <c r="Y56"/>
  <c r="X56"/>
  <c r="W56"/>
  <c r="V56"/>
  <c r="U56"/>
  <c r="T56"/>
  <c r="R56"/>
  <c r="Q56"/>
  <c r="E56"/>
  <c r="D56"/>
  <c r="AU55"/>
  <c r="AT55"/>
  <c r="AS55"/>
  <c r="AR55"/>
  <c r="AQ55"/>
  <c r="AP55"/>
  <c r="AO55"/>
  <c r="AN55"/>
  <c r="AM55"/>
  <c r="AL55"/>
  <c r="AK55"/>
  <c r="AJ55"/>
  <c r="AE55"/>
  <c r="AD55"/>
  <c r="AC55"/>
  <c r="AB55"/>
  <c r="AA55"/>
  <c r="Z55"/>
  <c r="Y55"/>
  <c r="X55"/>
  <c r="W55"/>
  <c r="V55"/>
  <c r="U55"/>
  <c r="T55"/>
  <c r="O55"/>
  <c r="N55"/>
  <c r="M55"/>
  <c r="L55"/>
  <c r="K55"/>
  <c r="J55"/>
  <c r="I55"/>
  <c r="H55"/>
  <c r="G55"/>
  <c r="F55"/>
  <c r="E55"/>
  <c r="D55"/>
  <c r="AV54"/>
  <c r="AF54"/>
  <c r="P54"/>
  <c r="AU53"/>
  <c r="AT53"/>
  <c r="AS53"/>
  <c r="AR53"/>
  <c r="AQ53"/>
  <c r="AP53"/>
  <c r="AO53"/>
  <c r="AN53"/>
  <c r="AM53"/>
  <c r="AL53"/>
  <c r="AK53"/>
  <c r="AJ53"/>
  <c r="AE53"/>
  <c r="AD53"/>
  <c r="AC53"/>
  <c r="AB53"/>
  <c r="AA53"/>
  <c r="Z53"/>
  <c r="Y53"/>
  <c r="X53"/>
  <c r="W53"/>
  <c r="V53"/>
  <c r="U53"/>
  <c r="T53"/>
  <c r="D53"/>
  <c r="B53"/>
  <c r="A53"/>
  <c r="AV52"/>
  <c r="AU52"/>
  <c r="AT52"/>
  <c r="AS52"/>
  <c r="AR52"/>
  <c r="AQ52"/>
  <c r="AP52"/>
  <c r="AO52"/>
  <c r="AN52"/>
  <c r="AM52"/>
  <c r="AL52"/>
  <c r="AK52"/>
  <c r="AJ52"/>
  <c r="AH52"/>
  <c r="AG52"/>
  <c r="AF52"/>
  <c r="AE52"/>
  <c r="AD52"/>
  <c r="AC52"/>
  <c r="AB52"/>
  <c r="AA52"/>
  <c r="Z52"/>
  <c r="Y52"/>
  <c r="X52"/>
  <c r="W52"/>
  <c r="V52"/>
  <c r="U52"/>
  <c r="T52"/>
  <c r="R52"/>
  <c r="Q52"/>
  <c r="E52"/>
  <c r="D52"/>
  <c r="B52"/>
  <c r="A52"/>
  <c r="AV51"/>
  <c r="AU51"/>
  <c r="AT51"/>
  <c r="AS51"/>
  <c r="AR51"/>
  <c r="AQ51"/>
  <c r="AP51"/>
  <c r="AO51"/>
  <c r="AN51"/>
  <c r="AM51"/>
  <c r="AL51"/>
  <c r="AK51"/>
  <c r="AJ51"/>
  <c r="AH51"/>
  <c r="AG51"/>
  <c r="AF51"/>
  <c r="AE51"/>
  <c r="AD51"/>
  <c r="AC51"/>
  <c r="AB51"/>
  <c r="AA51"/>
  <c r="Z51"/>
  <c r="Y51"/>
  <c r="X51"/>
  <c r="W51"/>
  <c r="V51"/>
  <c r="U51"/>
  <c r="T51"/>
  <c r="R51"/>
  <c r="Q51"/>
  <c r="E51"/>
  <c r="D51"/>
  <c r="B51"/>
  <c r="A51"/>
  <c r="AV50"/>
  <c r="AU50"/>
  <c r="AT50"/>
  <c r="AS50"/>
  <c r="AR50"/>
  <c r="AQ50"/>
  <c r="AP50"/>
  <c r="AO50"/>
  <c r="AN50"/>
  <c r="AM50"/>
  <c r="AL50"/>
  <c r="AK50"/>
  <c r="AJ50"/>
  <c r="AF50"/>
  <c r="AE50"/>
  <c r="AD50"/>
  <c r="AC50"/>
  <c r="AB50"/>
  <c r="AA50"/>
  <c r="Z50"/>
  <c r="Y50"/>
  <c r="X50"/>
  <c r="W50"/>
  <c r="V50"/>
  <c r="U50"/>
  <c r="T50"/>
  <c r="E50"/>
  <c r="D50"/>
  <c r="AU49"/>
  <c r="AT49"/>
  <c r="AS49"/>
  <c r="AR49"/>
  <c r="AQ49"/>
  <c r="AP49"/>
  <c r="AO49"/>
  <c r="AN49"/>
  <c r="AM49"/>
  <c r="AL49"/>
  <c r="AK49"/>
  <c r="AJ49"/>
  <c r="AE49"/>
  <c r="AD49"/>
  <c r="AC49"/>
  <c r="AB49"/>
  <c r="AA49"/>
  <c r="Z49"/>
  <c r="Y49"/>
  <c r="X49"/>
  <c r="W49"/>
  <c r="V49"/>
  <c r="U49"/>
  <c r="T49"/>
  <c r="D49"/>
  <c r="AV48"/>
  <c r="AU48"/>
  <c r="AT48"/>
  <c r="AS48"/>
  <c r="AR48"/>
  <c r="AQ48"/>
  <c r="AP48"/>
  <c r="AO48"/>
  <c r="AN48"/>
  <c r="AM48"/>
  <c r="AL48"/>
  <c r="AK48"/>
  <c r="AJ48"/>
  <c r="AH48"/>
  <c r="AG48"/>
  <c r="AF48"/>
  <c r="AE48"/>
  <c r="AD48"/>
  <c r="AC48"/>
  <c r="AB48"/>
  <c r="AA48"/>
  <c r="Z48"/>
  <c r="Y48"/>
  <c r="X48"/>
  <c r="W48"/>
  <c r="V48"/>
  <c r="U48"/>
  <c r="T48"/>
  <c r="R48"/>
  <c r="Q48"/>
  <c r="E48"/>
  <c r="D48"/>
  <c r="AU47"/>
  <c r="AT47"/>
  <c r="AS47"/>
  <c r="AR47"/>
  <c r="AQ47"/>
  <c r="AP47"/>
  <c r="AO47"/>
  <c r="AN47"/>
  <c r="AM47"/>
  <c r="AL47"/>
  <c r="AK47"/>
  <c r="AJ47"/>
  <c r="AE47"/>
  <c r="AD47"/>
  <c r="AC47"/>
  <c r="AB47"/>
  <c r="AA47"/>
  <c r="Z47"/>
  <c r="Y47"/>
  <c r="X47"/>
  <c r="W47"/>
  <c r="V47"/>
  <c r="U47"/>
  <c r="T47"/>
  <c r="D47"/>
  <c r="AV46"/>
  <c r="AU46"/>
  <c r="AT46"/>
  <c r="AS46"/>
  <c r="AR46"/>
  <c r="AQ46"/>
  <c r="AP46"/>
  <c r="AO46"/>
  <c r="AN46"/>
  <c r="AM46"/>
  <c r="AL46"/>
  <c r="AK46"/>
  <c r="AJ46"/>
  <c r="AH46"/>
  <c r="AG46"/>
  <c r="AF46"/>
  <c r="AE46"/>
  <c r="AD46"/>
  <c r="AC46"/>
  <c r="AB46"/>
  <c r="AA46"/>
  <c r="Z46"/>
  <c r="Y46"/>
  <c r="X46"/>
  <c r="W46"/>
  <c r="V46"/>
  <c r="U46"/>
  <c r="T46"/>
  <c r="R46"/>
  <c r="Q46"/>
  <c r="E46"/>
  <c r="D46"/>
  <c r="AU45"/>
  <c r="AT45"/>
  <c r="AS45"/>
  <c r="AR45"/>
  <c r="AQ45"/>
  <c r="AP45"/>
  <c r="AO45"/>
  <c r="AN45"/>
  <c r="AM45"/>
  <c r="AL45"/>
  <c r="AK45"/>
  <c r="AJ45"/>
  <c r="AE45"/>
  <c r="AD45"/>
  <c r="AC45"/>
  <c r="AB45"/>
  <c r="AA45"/>
  <c r="Z45"/>
  <c r="Y45"/>
  <c r="X45"/>
  <c r="W45"/>
  <c r="V45"/>
  <c r="U45"/>
  <c r="T45"/>
  <c r="L107"/>
  <c r="L179"/>
  <c r="L180"/>
  <c r="P103"/>
  <c r="N212" i="38"/>
  <c r="P89" i="14"/>
  <c r="N122" i="38"/>
  <c r="AI21" i="4"/>
  <c r="AH19"/>
  <c r="C357" i="38"/>
  <c r="D45" i="14"/>
  <c r="AV44"/>
  <c r="AU44"/>
  <c r="AT44"/>
  <c r="AS44"/>
  <c r="AR44"/>
  <c r="AQ44"/>
  <c r="AP44"/>
  <c r="AO44"/>
  <c r="AN44"/>
  <c r="AM44"/>
  <c r="AL44"/>
  <c r="AK44"/>
  <c r="AJ44"/>
  <c r="AH44"/>
  <c r="AG44"/>
  <c r="AF44"/>
  <c r="AE44"/>
  <c r="AD44"/>
  <c r="AC44"/>
  <c r="AB44"/>
  <c r="AA44"/>
  <c r="Z44"/>
  <c r="Y44"/>
  <c r="X44"/>
  <c r="W44"/>
  <c r="V44"/>
  <c r="U44"/>
  <c r="T44"/>
  <c r="R44"/>
  <c r="Q44"/>
  <c r="E44"/>
  <c r="D44"/>
  <c r="B44"/>
  <c r="A44"/>
  <c r="AV43"/>
  <c r="AU43"/>
  <c r="AT43"/>
  <c r="AS43"/>
  <c r="AR43"/>
  <c r="AQ43"/>
  <c r="AP43"/>
  <c r="AO43"/>
  <c r="AN43"/>
  <c r="AM43"/>
  <c r="AL43"/>
  <c r="M180"/>
  <c r="M181"/>
  <c r="L181"/>
  <c r="AJ21" i="4"/>
  <c r="AI19"/>
  <c r="B357" i="38"/>
  <c r="B356"/>
  <c r="B358"/>
  <c r="B361"/>
  <c r="C356"/>
  <c r="B362"/>
  <c r="AK43" i="14"/>
  <c r="AJ43"/>
  <c r="AF43"/>
  <c r="AE43"/>
  <c r="AD43"/>
  <c r="AC43"/>
  <c r="AB43"/>
  <c r="AA43"/>
  <c r="Z43"/>
  <c r="Y43"/>
  <c r="X43"/>
  <c r="W43"/>
  <c r="V43"/>
  <c r="U43"/>
  <c r="T43"/>
  <c r="E43"/>
  <c r="D43"/>
  <c r="AV42"/>
  <c r="AU42"/>
  <c r="AT42"/>
  <c r="AS42"/>
  <c r="AR42"/>
  <c r="AQ42"/>
  <c r="AP42"/>
  <c r="AO42"/>
  <c r="AN42"/>
  <c r="AM42"/>
  <c r="AL42"/>
  <c r="AK42"/>
  <c r="AJ42"/>
  <c r="AH42"/>
  <c r="AG42"/>
  <c r="AF42"/>
  <c r="AE42"/>
  <c r="AD42"/>
  <c r="AC42"/>
  <c r="AB42"/>
  <c r="AA42"/>
  <c r="Z42"/>
  <c r="Y42"/>
  <c r="X42"/>
  <c r="W42"/>
  <c r="V42"/>
  <c r="U42"/>
  <c r="T42"/>
  <c r="R42"/>
  <c r="Q42"/>
  <c r="E42"/>
  <c r="D42"/>
  <c r="M41"/>
  <c r="E41"/>
  <c r="D41"/>
  <c r="AU40"/>
  <c r="AT40"/>
  <c r="AS40"/>
  <c r="AR40"/>
  <c r="AQ40"/>
  <c r="AP40"/>
  <c r="AO40"/>
  <c r="AN40"/>
  <c r="AM40"/>
  <c r="AL40"/>
  <c r="AK40"/>
  <c r="AJ40"/>
  <c r="AE40"/>
  <c r="AD40"/>
  <c r="AC40"/>
  <c r="AB40"/>
  <c r="AA40"/>
  <c r="Z40"/>
  <c r="Y40"/>
  <c r="X40"/>
  <c r="W40"/>
  <c r="V40"/>
  <c r="U40"/>
  <c r="T40"/>
  <c r="D40"/>
  <c r="AV39"/>
  <c r="AU39"/>
  <c r="AT39"/>
  <c r="AS39"/>
  <c r="AR39"/>
  <c r="AQ39"/>
  <c r="AP39"/>
  <c r="AO39"/>
  <c r="AN39"/>
  <c r="AM39"/>
  <c r="AL39"/>
  <c r="AK39"/>
  <c r="AJ39"/>
  <c r="AH39"/>
  <c r="AG39"/>
  <c r="AF39"/>
  <c r="AE39"/>
  <c r="AD39"/>
  <c r="AC39"/>
  <c r="AB39"/>
  <c r="AA39"/>
  <c r="Z39"/>
  <c r="Y39"/>
  <c r="X39"/>
  <c r="W39"/>
  <c r="V39"/>
  <c r="U39"/>
  <c r="T39"/>
  <c r="R39"/>
  <c r="Q39"/>
  <c r="E39"/>
  <c r="D39"/>
  <c r="B39"/>
  <c r="A39"/>
  <c r="AV38"/>
  <c r="AU38"/>
  <c r="AT38"/>
  <c r="AS38"/>
  <c r="AR38"/>
  <c r="AQ38"/>
  <c r="AP38"/>
  <c r="AO38"/>
  <c r="AN38"/>
  <c r="AM38"/>
  <c r="AL38"/>
  <c r="AK38"/>
  <c r="AJ38"/>
  <c r="AF38"/>
  <c r="AE38"/>
  <c r="AD38"/>
  <c r="AC38"/>
  <c r="AB38"/>
  <c r="AA38"/>
  <c r="Z38"/>
  <c r="Y38"/>
  <c r="X38"/>
  <c r="W38"/>
  <c r="V38"/>
  <c r="U38"/>
  <c r="T38"/>
  <c r="E38"/>
  <c r="D38"/>
  <c r="AV37"/>
  <c r="AU37"/>
  <c r="AT37"/>
  <c r="AS37"/>
  <c r="AR37"/>
  <c r="AQ37"/>
  <c r="AP37"/>
  <c r="AO37"/>
  <c r="AN37"/>
  <c r="AM37"/>
  <c r="AL37"/>
  <c r="AK37"/>
  <c r="AJ37"/>
  <c r="AH37"/>
  <c r="AG37"/>
  <c r="AF37"/>
  <c r="AE37"/>
  <c r="AD37"/>
  <c r="AC37"/>
  <c r="AB37"/>
  <c r="AA37"/>
  <c r="Z37"/>
  <c r="Y37"/>
  <c r="X37"/>
  <c r="W37"/>
  <c r="V37"/>
  <c r="U37"/>
  <c r="T37"/>
  <c r="R37"/>
  <c r="Q37"/>
  <c r="E37"/>
  <c r="D37"/>
  <c r="P36"/>
  <c r="E34"/>
  <c r="D34"/>
  <c r="E33"/>
  <c r="D33"/>
  <c r="E32"/>
  <c r="D32"/>
  <c r="E31"/>
  <c r="D31"/>
  <c r="E30"/>
  <c r="D30"/>
  <c r="A30"/>
  <c r="P29"/>
  <c r="D29"/>
  <c r="A29"/>
  <c r="AU27"/>
  <c r="AT27"/>
  <c r="AS27"/>
  <c r="AR27"/>
  <c r="AQ27"/>
  <c r="AP27"/>
  <c r="AO27"/>
  <c r="AN27"/>
  <c r="AM27"/>
  <c r="AL27"/>
  <c r="AK27"/>
  <c r="AJ27"/>
  <c r="AH27"/>
  <c r="AG27"/>
  <c r="AE27"/>
  <c r="AD27"/>
  <c r="AC27"/>
  <c r="AB27"/>
  <c r="AA27"/>
  <c r="Z27"/>
  <c r="Y27"/>
  <c r="X27"/>
  <c r="W27"/>
  <c r="V27"/>
  <c r="U27"/>
  <c r="T27"/>
  <c r="R27"/>
  <c r="Q27"/>
  <c r="D27"/>
  <c r="B27"/>
  <c r="A27"/>
  <c r="AV26"/>
  <c r="AU26"/>
  <c r="AT26"/>
  <c r="AS26"/>
  <c r="AR26"/>
  <c r="AQ26"/>
  <c r="AP26"/>
  <c r="AO26"/>
  <c r="AN26"/>
  <c r="AM26"/>
  <c r="AL26"/>
  <c r="AK26"/>
  <c r="AJ26"/>
  <c r="AG26"/>
  <c r="AF26"/>
  <c r="AE26"/>
  <c r="AD26"/>
  <c r="AC26"/>
  <c r="AB26"/>
  <c r="AA26"/>
  <c r="Z26"/>
  <c r="Y26"/>
  <c r="X26"/>
  <c r="W26"/>
  <c r="V26"/>
  <c r="U26"/>
  <c r="T26"/>
  <c r="Q26"/>
  <c r="E26"/>
  <c r="D26"/>
  <c r="A26"/>
  <c r="AU25"/>
  <c r="AT25"/>
  <c r="AS25"/>
  <c r="AR25"/>
  <c r="AQ25"/>
  <c r="AP25"/>
  <c r="AO25"/>
  <c r="AN25"/>
  <c r="AM25"/>
  <c r="AL25"/>
  <c r="AK25"/>
  <c r="AJ25"/>
  <c r="AH25"/>
  <c r="AG25"/>
  <c r="AE25"/>
  <c r="AD25"/>
  <c r="AC25"/>
  <c r="AB25"/>
  <c r="AA25"/>
  <c r="Z25"/>
  <c r="Y25"/>
  <c r="X25"/>
  <c r="W25"/>
  <c r="V25"/>
  <c r="U25"/>
  <c r="T25"/>
  <c r="R25"/>
  <c r="Q25"/>
  <c r="O25"/>
  <c r="N25"/>
  <c r="M25"/>
  <c r="L25"/>
  <c r="K25"/>
  <c r="J25"/>
  <c r="I25"/>
  <c r="H25"/>
  <c r="G25"/>
  <c r="F25"/>
  <c r="E25"/>
  <c r="D25"/>
  <c r="B25"/>
  <c r="A25"/>
  <c r="AV24"/>
  <c r="AU24"/>
  <c r="AT24"/>
  <c r="AS24"/>
  <c r="AR24"/>
  <c r="AQ24"/>
  <c r="AP24"/>
  <c r="AO24"/>
  <c r="AN24"/>
  <c r="AM24"/>
  <c r="AL24"/>
  <c r="AK24"/>
  <c r="AJ24"/>
  <c r="AF24"/>
  <c r="AE24"/>
  <c r="AD24"/>
  <c r="AC24"/>
  <c r="AB24"/>
  <c r="AA24"/>
  <c r="Z24"/>
  <c r="Y24"/>
  <c r="X24"/>
  <c r="W24"/>
  <c r="V24"/>
  <c r="U24"/>
  <c r="T24"/>
  <c r="P24"/>
  <c r="O24"/>
  <c r="N24"/>
  <c r="M24"/>
  <c r="L24"/>
  <c r="K24"/>
  <c r="J24"/>
  <c r="I24"/>
  <c r="H24"/>
  <c r="G24"/>
  <c r="F24"/>
  <c r="E24"/>
  <c r="D24"/>
  <c r="AU23"/>
  <c r="AT23"/>
  <c r="AS23"/>
  <c r="AR23"/>
  <c r="AQ23"/>
  <c r="AP23"/>
  <c r="AO23"/>
  <c r="AN23"/>
  <c r="AM23"/>
  <c r="AL23"/>
  <c r="AK23"/>
  <c r="AJ23"/>
  <c r="AH23"/>
  <c r="AG23"/>
  <c r="AE23"/>
  <c r="AD23"/>
  <c r="AC23"/>
  <c r="AB23"/>
  <c r="AA23"/>
  <c r="Z23"/>
  <c r="Y23"/>
  <c r="X23"/>
  <c r="W23"/>
  <c r="V23"/>
  <c r="U23"/>
  <c r="T23"/>
  <c r="R23"/>
  <c r="Q23"/>
  <c r="D23"/>
  <c r="B23"/>
  <c r="A23"/>
  <c r="AV22"/>
  <c r="AU22"/>
  <c r="AT22"/>
  <c r="AS22"/>
  <c r="AR22"/>
  <c r="AQ22"/>
  <c r="AP22"/>
  <c r="AO22"/>
  <c r="AN22"/>
  <c r="AM22"/>
  <c r="AL22"/>
  <c r="AK22"/>
  <c r="AJ22"/>
  <c r="AF22"/>
  <c r="AE22"/>
  <c r="AD22"/>
  <c r="AC22"/>
  <c r="AB22"/>
  <c r="AA22"/>
  <c r="Z22"/>
  <c r="Y22"/>
  <c r="X22"/>
  <c r="W22"/>
  <c r="V22"/>
  <c r="U22"/>
  <c r="T22"/>
  <c r="E22"/>
  <c r="D22"/>
  <c r="AU18"/>
  <c r="AT18"/>
  <c r="AS18"/>
  <c r="AR18"/>
  <c r="AQ18"/>
  <c r="AP18"/>
  <c r="AO18"/>
  <c r="AN18"/>
  <c r="AM18"/>
  <c r="AL18"/>
  <c r="AK18"/>
  <c r="AJ18"/>
  <c r="AE18"/>
  <c r="AD18"/>
  <c r="AC18"/>
  <c r="AB18"/>
  <c r="AA18"/>
  <c r="Z18"/>
  <c r="Y18"/>
  <c r="X18"/>
  <c r="W18"/>
  <c r="V18"/>
  <c r="U18"/>
  <c r="T18"/>
  <c r="E18"/>
  <c r="D18"/>
  <c r="B18"/>
  <c r="A18"/>
  <c r="AV17"/>
  <c r="AU17"/>
  <c r="AT17"/>
  <c r="AS17"/>
  <c r="AR17"/>
  <c r="AQ17"/>
  <c r="AP17"/>
  <c r="AO17"/>
  <c r="AN17"/>
  <c r="AM17"/>
  <c r="AL17"/>
  <c r="AK17"/>
  <c r="AJ17"/>
  <c r="AF17"/>
  <c r="AE17"/>
  <c r="AD17"/>
  <c r="AC17"/>
  <c r="AB17"/>
  <c r="AA17"/>
  <c r="Z17"/>
  <c r="Y17"/>
  <c r="X17"/>
  <c r="W17"/>
  <c r="V17"/>
  <c r="U17"/>
  <c r="T17"/>
  <c r="AK21" i="4"/>
  <c r="AJ19"/>
  <c r="E17" i="14"/>
  <c r="D17"/>
  <c r="AU16"/>
  <c r="AT16"/>
  <c r="AS16"/>
  <c r="AR16"/>
  <c r="AQ16"/>
  <c r="AP16"/>
  <c r="AO16"/>
  <c r="AN16"/>
  <c r="AM16"/>
  <c r="AL16"/>
  <c r="AK16"/>
  <c r="AJ16"/>
  <c r="AE16"/>
  <c r="AD16"/>
  <c r="AC16"/>
  <c r="AB16"/>
  <c r="AA16"/>
  <c r="Z16"/>
  <c r="Y16"/>
  <c r="X16"/>
  <c r="W16"/>
  <c r="V16"/>
  <c r="U16"/>
  <c r="T16"/>
  <c r="O16"/>
  <c r="N16"/>
  <c r="M16"/>
  <c r="L16"/>
  <c r="K16"/>
  <c r="J16"/>
  <c r="I16"/>
  <c r="H16"/>
  <c r="G16"/>
  <c r="F16"/>
  <c r="E16"/>
  <c r="D16"/>
  <c r="B16"/>
  <c r="A16"/>
  <c r="AV15"/>
  <c r="AU15"/>
  <c r="AT15"/>
  <c r="AS15"/>
  <c r="AR15"/>
  <c r="AQ15"/>
  <c r="AP15"/>
  <c r="AO15"/>
  <c r="AN15"/>
  <c r="AM15"/>
  <c r="AL15"/>
  <c r="AK15"/>
  <c r="AJ15"/>
  <c r="AF15"/>
  <c r="AE15"/>
  <c r="AD15"/>
  <c r="AC15"/>
  <c r="AB15"/>
  <c r="AA15"/>
  <c r="Z15"/>
  <c r="Y15"/>
  <c r="X15"/>
  <c r="W15"/>
  <c r="V15"/>
  <c r="U15"/>
  <c r="T15"/>
  <c r="Q15"/>
  <c r="P15"/>
  <c r="O15"/>
  <c r="N15"/>
  <c r="M15"/>
  <c r="L15"/>
  <c r="K15"/>
  <c r="J15"/>
  <c r="I15"/>
  <c r="H15"/>
  <c r="G15"/>
  <c r="F15"/>
  <c r="E15"/>
  <c r="D15"/>
  <c r="AU14"/>
  <c r="AT14"/>
  <c r="AS14"/>
  <c r="AR14"/>
  <c r="AQ14"/>
  <c r="AP14"/>
  <c r="AO14"/>
  <c r="AN14"/>
  <c r="AM14"/>
  <c r="AL14"/>
  <c r="AK14"/>
  <c r="AJ14"/>
  <c r="AE14"/>
  <c r="AD14"/>
  <c r="AC14"/>
  <c r="AB14"/>
  <c r="AA14"/>
  <c r="Z14"/>
  <c r="Y14"/>
  <c r="X14"/>
  <c r="W14"/>
  <c r="V14"/>
  <c r="U14"/>
  <c r="T14"/>
  <c r="E14"/>
  <c r="D14"/>
  <c r="B14"/>
  <c r="A14"/>
  <c r="AV13"/>
  <c r="AU13"/>
  <c r="AT13"/>
  <c r="AS13"/>
  <c r="AR13"/>
  <c r="AQ13"/>
  <c r="AP13"/>
  <c r="AO13"/>
  <c r="AN13"/>
  <c r="AM13"/>
  <c r="AL13"/>
  <c r="AK13"/>
  <c r="AJ13"/>
  <c r="AF13"/>
  <c r="AE13"/>
  <c r="AD13"/>
  <c r="AC13"/>
  <c r="AB13"/>
  <c r="AA13"/>
  <c r="Z13"/>
  <c r="Y13"/>
  <c r="X13"/>
  <c r="W13"/>
  <c r="V13"/>
  <c r="U13"/>
  <c r="T13"/>
  <c r="E13"/>
  <c r="D13"/>
  <c r="AU9"/>
  <c r="AT9"/>
  <c r="AS9"/>
  <c r="AR9"/>
  <c r="AQ9"/>
  <c r="AP9"/>
  <c r="AO9"/>
  <c r="AN9"/>
  <c r="AM9"/>
  <c r="AL9"/>
  <c r="AE9"/>
  <c r="AD9"/>
  <c r="AC9"/>
  <c r="AB9"/>
  <c r="AA9"/>
  <c r="Z9"/>
  <c r="Y9"/>
  <c r="X9"/>
  <c r="W9"/>
  <c r="V9"/>
  <c r="AT8"/>
  <c r="AS8"/>
  <c r="AL21" i="4"/>
  <c r="AK19"/>
  <c r="AR8" i="14"/>
  <c r="AQ8"/>
  <c r="L16" i="36"/>
  <c r="AL19" i="4"/>
  <c r="AP8" i="14"/>
  <c r="AO8"/>
  <c r="AN8"/>
  <c r="AM8"/>
  <c r="AL8"/>
  <c r="AE8"/>
  <c r="AD8"/>
  <c r="AC8"/>
  <c r="AB8"/>
  <c r="AA8"/>
  <c r="Z8"/>
  <c r="Y8"/>
  <c r="X8"/>
  <c r="W8"/>
  <c r="V8"/>
  <c r="AU7"/>
  <c r="AT7"/>
  <c r="AS7"/>
  <c r="AR7"/>
  <c r="AQ7"/>
  <c r="AP7"/>
  <c r="AO7"/>
  <c r="AN7"/>
  <c r="AM7"/>
  <c r="AL7"/>
  <c r="AE7"/>
  <c r="AD7"/>
  <c r="AC7"/>
  <c r="AB7"/>
  <c r="AA7"/>
  <c r="Z7"/>
  <c r="Y7"/>
  <c r="X7"/>
  <c r="W7"/>
  <c r="V7"/>
  <c r="L7"/>
  <c r="M7"/>
  <c r="N7"/>
  <c r="O7"/>
  <c r="K7"/>
  <c r="J7"/>
  <c r="I7"/>
  <c r="H7"/>
  <c r="G7"/>
  <c r="F7"/>
  <c r="AU6"/>
  <c r="AT6"/>
  <c r="AS6"/>
  <c r="AR6"/>
  <c r="AQ6"/>
  <c r="AP6"/>
  <c r="AO6"/>
  <c r="AN6"/>
  <c r="AM6"/>
  <c r="AL6"/>
  <c r="AE6"/>
  <c r="AD6"/>
  <c r="AC6"/>
  <c r="AB6"/>
  <c r="AA6"/>
  <c r="Z6"/>
  <c r="Y6"/>
  <c r="X6"/>
  <c r="W6"/>
  <c r="V6"/>
  <c r="AV4"/>
  <c r="AU4"/>
  <c r="AT4"/>
  <c r="AS4"/>
  <c r="AR4"/>
  <c r="AQ4"/>
  <c r="AP4"/>
  <c r="AO4"/>
  <c r="AN4"/>
  <c r="AM4"/>
  <c r="AL4"/>
  <c r="AF4"/>
  <c r="AE4"/>
  <c r="AD4"/>
  <c r="AC4"/>
  <c r="AB4"/>
  <c r="AA4"/>
  <c r="Z4"/>
  <c r="Y4"/>
  <c r="X4"/>
  <c r="W4"/>
  <c r="V4"/>
  <c r="AV2"/>
  <c r="AU2"/>
  <c r="AT2"/>
  <c r="AS2"/>
  <c r="AR2"/>
  <c r="AQ2"/>
  <c r="AP2"/>
  <c r="AO2"/>
  <c r="AN2"/>
  <c r="AM2"/>
  <c r="AL2"/>
  <c r="AF2"/>
  <c r="AE2"/>
  <c r="AD2"/>
  <c r="AC2"/>
  <c r="AB2"/>
  <c r="AA2"/>
  <c r="Z2"/>
  <c r="Y2"/>
  <c r="X2"/>
  <c r="W2"/>
  <c r="V2"/>
  <c r="O2"/>
  <c r="N2"/>
  <c r="N4"/>
  <c r="M2"/>
  <c r="L2"/>
  <c r="L4"/>
  <c r="K2"/>
  <c r="J2"/>
  <c r="J4"/>
  <c r="I2"/>
  <c r="H2"/>
  <c r="H4"/>
  <c r="G2"/>
  <c r="F2"/>
  <c r="F6"/>
  <c r="K33" i="10"/>
  <c r="J33"/>
  <c r="I33"/>
  <c r="H33"/>
  <c r="G33"/>
  <c r="F33"/>
  <c r="E33"/>
  <c r="D33"/>
  <c r="C33"/>
  <c r="B33"/>
  <c r="K32"/>
  <c r="J32"/>
  <c r="I32"/>
  <c r="H32"/>
  <c r="G32"/>
  <c r="F32"/>
  <c r="E32"/>
  <c r="D32"/>
  <c r="C32"/>
  <c r="B32"/>
  <c r="AU5" i="14"/>
  <c r="AT5"/>
  <c r="AS5"/>
  <c r="AR5"/>
  <c r="AQ5"/>
  <c r="AP5"/>
  <c r="AO5"/>
  <c r="AN5"/>
  <c r="AM5"/>
  <c r="AL5"/>
  <c r="AE5"/>
  <c r="AD5"/>
  <c r="AC5"/>
  <c r="AB5"/>
  <c r="AA5"/>
  <c r="Z5"/>
  <c r="Y5"/>
  <c r="X5"/>
  <c r="W5"/>
  <c r="V5"/>
  <c r="F8"/>
  <c r="G101"/>
  <c r="G87"/>
  <c r="G79"/>
  <c r="G62"/>
  <c r="G56"/>
  <c r="G66"/>
  <c r="G46"/>
  <c r="G95"/>
  <c r="G83"/>
  <c r="G75"/>
  <c r="G48"/>
  <c r="G42"/>
  <c r="G37"/>
  <c r="G43"/>
  <c r="G38"/>
  <c r="I101"/>
  <c r="I87"/>
  <c r="I79"/>
  <c r="I62"/>
  <c r="I56"/>
  <c r="I66"/>
  <c r="I46"/>
  <c r="I95"/>
  <c r="I83"/>
  <c r="I75"/>
  <c r="I91"/>
  <c r="I48"/>
  <c r="I42"/>
  <c r="I37"/>
  <c r="I43"/>
  <c r="I38"/>
  <c r="K101"/>
  <c r="K87"/>
  <c r="K79"/>
  <c r="K62"/>
  <c r="K56"/>
  <c r="K66"/>
  <c r="K46"/>
  <c r="K130"/>
  <c r="K95"/>
  <c r="K105"/>
  <c r="K83"/>
  <c r="K75"/>
  <c r="K48"/>
  <c r="K42"/>
  <c r="K37"/>
  <c r="K43"/>
  <c r="K38"/>
  <c r="M101"/>
  <c r="M174"/>
  <c r="M87"/>
  <c r="M79"/>
  <c r="M62"/>
  <c r="M56"/>
  <c r="M66"/>
  <c r="M46"/>
  <c r="M130"/>
  <c r="M131"/>
  <c r="M95"/>
  <c r="M83"/>
  <c r="M134"/>
  <c r="M135"/>
  <c r="M75"/>
  <c r="M48"/>
  <c r="M138"/>
  <c r="M139"/>
  <c r="M42"/>
  <c r="M37"/>
  <c r="M43"/>
  <c r="M38"/>
  <c r="O62"/>
  <c r="O56"/>
  <c r="O46"/>
  <c r="O48"/>
  <c r="O42"/>
  <c r="O37"/>
  <c r="O43"/>
  <c r="O38"/>
  <c r="F4"/>
  <c r="F48"/>
  <c r="F62"/>
  <c r="F56"/>
  <c r="F46"/>
  <c r="F43"/>
  <c r="F38"/>
  <c r="F42"/>
  <c r="F37"/>
  <c r="H95"/>
  <c r="H83"/>
  <c r="H75"/>
  <c r="H48"/>
  <c r="H138"/>
  <c r="H101"/>
  <c r="H174"/>
  <c r="H87"/>
  <c r="H142"/>
  <c r="H79"/>
  <c r="H62"/>
  <c r="H56"/>
  <c r="H46"/>
  <c r="H43"/>
  <c r="H38"/>
  <c r="H51"/>
  <c r="H42"/>
  <c r="H44"/>
  <c r="F31" i="38"/>
  <c r="H37" i="14"/>
  <c r="J95"/>
  <c r="J83"/>
  <c r="J75"/>
  <c r="J48"/>
  <c r="J138"/>
  <c r="J101"/>
  <c r="J87"/>
  <c r="J79"/>
  <c r="J62"/>
  <c r="J56"/>
  <c r="J46"/>
  <c r="J130"/>
  <c r="J43"/>
  <c r="J38"/>
  <c r="J51"/>
  <c r="J42"/>
  <c r="J44"/>
  <c r="J122"/>
  <c r="J37"/>
  <c r="L95"/>
  <c r="L83"/>
  <c r="L75"/>
  <c r="L48"/>
  <c r="L138"/>
  <c r="K138"/>
  <c r="L101"/>
  <c r="L87"/>
  <c r="L79"/>
  <c r="L62"/>
  <c r="L56"/>
  <c r="L46"/>
  <c r="L130"/>
  <c r="L43"/>
  <c r="L38"/>
  <c r="L51"/>
  <c r="L42"/>
  <c r="L44"/>
  <c r="L37"/>
  <c r="N48"/>
  <c r="N62"/>
  <c r="N56"/>
  <c r="N46"/>
  <c r="N43"/>
  <c r="N38"/>
  <c r="N51"/>
  <c r="N42"/>
  <c r="N44"/>
  <c r="M44"/>
  <c r="M122"/>
  <c r="N37"/>
  <c r="P2"/>
  <c r="G4"/>
  <c r="I4"/>
  <c r="K4"/>
  <c r="M4"/>
  <c r="K31" i="10"/>
  <c r="J31"/>
  <c r="I31"/>
  <c r="H31"/>
  <c r="G31"/>
  <c r="F31"/>
  <c r="E31"/>
  <c r="D31"/>
  <c r="C31"/>
  <c r="B31"/>
  <c r="H27"/>
  <c r="H34"/>
  <c r="G27"/>
  <c r="G34"/>
  <c r="F27"/>
  <c r="F34"/>
  <c r="B34"/>
  <c r="E34"/>
  <c r="D34"/>
  <c r="C34"/>
  <c r="G28"/>
  <c r="F28"/>
  <c r="E28"/>
  <c r="D28"/>
  <c r="C28"/>
  <c r="B28"/>
  <c r="H28"/>
  <c r="N50" i="14"/>
  <c r="N52"/>
  <c r="N22"/>
  <c r="N26"/>
  <c r="N39"/>
  <c r="L50"/>
  <c r="L52"/>
  <c r="L39"/>
  <c r="J50"/>
  <c r="J52"/>
  <c r="J39"/>
  <c r="J142"/>
  <c r="H93" i="38"/>
  <c r="G93"/>
  <c r="F93"/>
  <c r="J134" i="14"/>
  <c r="H63" i="38"/>
  <c r="H50" i="14"/>
  <c r="H52"/>
  <c r="H39"/>
  <c r="H130"/>
  <c r="F61" i="38"/>
  <c r="F278"/>
  <c r="F357"/>
  <c r="F50" i="14"/>
  <c r="F39"/>
  <c r="P37"/>
  <c r="F51"/>
  <c r="P38"/>
  <c r="F134"/>
  <c r="F136"/>
  <c r="F130"/>
  <c r="D61" i="38"/>
  <c r="D278"/>
  <c r="F47" i="14"/>
  <c r="P46"/>
  <c r="N61" i="38"/>
  <c r="H61"/>
  <c r="H278"/>
  <c r="H357"/>
  <c r="M118" i="14"/>
  <c r="M119"/>
  <c r="M91"/>
  <c r="M158"/>
  <c r="M159"/>
  <c r="M105"/>
  <c r="L174"/>
  <c r="K174"/>
  <c r="M175"/>
  <c r="K91"/>
  <c r="G153" i="38"/>
  <c r="F153"/>
  <c r="I158" i="14"/>
  <c r="I105"/>
  <c r="I109"/>
  <c r="G183" i="38"/>
  <c r="F183"/>
  <c r="E183"/>
  <c r="I174" i="14"/>
  <c r="G91"/>
  <c r="G76"/>
  <c r="F76"/>
  <c r="E76"/>
  <c r="P75"/>
  <c r="E153" i="38"/>
  <c r="G158" i="14"/>
  <c r="G160"/>
  <c r="G105"/>
  <c r="G96"/>
  <c r="F96"/>
  <c r="E96"/>
  <c r="P95"/>
  <c r="G80"/>
  <c r="F80"/>
  <c r="E80"/>
  <c r="P79"/>
  <c r="N33" i="38"/>
  <c r="G174" i="14"/>
  <c r="G102"/>
  <c r="F102"/>
  <c r="E102"/>
  <c r="P101"/>
  <c r="N183" i="38"/>
  <c r="L134" i="14"/>
  <c r="K134"/>
  <c r="H134"/>
  <c r="P62"/>
  <c r="O44"/>
  <c r="M126"/>
  <c r="K44"/>
  <c r="K122"/>
  <c r="I44"/>
  <c r="I126"/>
  <c r="I128"/>
  <c r="G44"/>
  <c r="E31" i="38"/>
  <c r="L122" i="14"/>
  <c r="M123"/>
  <c r="L118"/>
  <c r="L91"/>
  <c r="L158"/>
  <c r="K158"/>
  <c r="L105"/>
  <c r="J126"/>
  <c r="J128"/>
  <c r="H33" i="38"/>
  <c r="G33"/>
  <c r="F33"/>
  <c r="E33"/>
  <c r="H183"/>
  <c r="J174" i="14"/>
  <c r="H4" i="38"/>
  <c r="G4"/>
  <c r="F4"/>
  <c r="E4"/>
  <c r="J118" i="14"/>
  <c r="J91"/>
  <c r="J158"/>
  <c r="H153" i="38"/>
  <c r="J105" i="14"/>
  <c r="H118"/>
  <c r="H91"/>
  <c r="H158"/>
  <c r="H105"/>
  <c r="F44"/>
  <c r="P42"/>
  <c r="F66"/>
  <c r="P56"/>
  <c r="D91" i="38"/>
  <c r="F142" i="14"/>
  <c r="F144"/>
  <c r="F138"/>
  <c r="F140"/>
  <c r="P48"/>
  <c r="N91" i="38"/>
  <c r="H91"/>
  <c r="H279"/>
  <c r="H358"/>
  <c r="F49" i="14"/>
  <c r="E49"/>
  <c r="O50"/>
  <c r="O39"/>
  <c r="K50"/>
  <c r="K39"/>
  <c r="K114"/>
  <c r="I50"/>
  <c r="I39"/>
  <c r="I138"/>
  <c r="G91" i="38"/>
  <c r="G63"/>
  <c r="F63"/>
  <c r="E63"/>
  <c r="I134" i="14"/>
  <c r="I130"/>
  <c r="G61" i="38"/>
  <c r="G278"/>
  <c r="G357"/>
  <c r="G50" i="14"/>
  <c r="G39"/>
  <c r="E91" i="38"/>
  <c r="E279"/>
  <c r="E358"/>
  <c r="D279"/>
  <c r="G138" i="14"/>
  <c r="G134"/>
  <c r="G84"/>
  <c r="F84"/>
  <c r="E84"/>
  <c r="P83"/>
  <c r="G130"/>
  <c r="E61" i="38"/>
  <c r="E278"/>
  <c r="E93"/>
  <c r="G142" i="14"/>
  <c r="G88"/>
  <c r="F88"/>
  <c r="E88"/>
  <c r="P87"/>
  <c r="N66"/>
  <c r="L66"/>
  <c r="L126"/>
  <c r="L128"/>
  <c r="J66"/>
  <c r="H66"/>
  <c r="H126"/>
  <c r="P43"/>
  <c r="O51"/>
  <c r="O66"/>
  <c r="M51"/>
  <c r="M50"/>
  <c r="L139"/>
  <c r="K139"/>
  <c r="J139"/>
  <c r="I139"/>
  <c r="H139"/>
  <c r="G139"/>
  <c r="F139"/>
  <c r="L135"/>
  <c r="K135"/>
  <c r="J135"/>
  <c r="I135"/>
  <c r="H135"/>
  <c r="L131"/>
  <c r="K131"/>
  <c r="J131"/>
  <c r="I131"/>
  <c r="H131"/>
  <c r="G131"/>
  <c r="F131"/>
  <c r="M142"/>
  <c r="K51"/>
  <c r="K142"/>
  <c r="I51"/>
  <c r="I142"/>
  <c r="G51"/>
  <c r="G21" i="10"/>
  <c r="F21"/>
  <c r="E21"/>
  <c r="L123" i="14"/>
  <c r="K123"/>
  <c r="J123"/>
  <c r="L175"/>
  <c r="K175"/>
  <c r="K126"/>
  <c r="K128"/>
  <c r="L142"/>
  <c r="M143"/>
  <c r="E2" i="38"/>
  <c r="G114" i="14"/>
  <c r="G41"/>
  <c r="F91" i="38"/>
  <c r="G279"/>
  <c r="G2"/>
  <c r="I114" i="14"/>
  <c r="I41"/>
  <c r="G140"/>
  <c r="F141"/>
  <c r="F126"/>
  <c r="F128"/>
  <c r="F122"/>
  <c r="F124"/>
  <c r="F45"/>
  <c r="P44"/>
  <c r="N31" i="38"/>
  <c r="H31"/>
  <c r="H277"/>
  <c r="J150" i="14"/>
  <c r="H123" i="38"/>
  <c r="G123"/>
  <c r="F123"/>
  <c r="J109" i="14"/>
  <c r="G31" i="38"/>
  <c r="G277"/>
  <c r="F277"/>
  <c r="E277"/>
  <c r="E356"/>
  <c r="I122" i="14"/>
  <c r="H122"/>
  <c r="G122"/>
  <c r="G161"/>
  <c r="H160"/>
  <c r="E123" i="38"/>
  <c r="G109" i="14"/>
  <c r="G213" i="38"/>
  <c r="I182" i="14"/>
  <c r="E47"/>
  <c r="G47"/>
  <c r="H47"/>
  <c r="I47"/>
  <c r="J47"/>
  <c r="K47"/>
  <c r="L47"/>
  <c r="M47"/>
  <c r="N47"/>
  <c r="O47"/>
  <c r="H146"/>
  <c r="H68"/>
  <c r="H186"/>
  <c r="H22"/>
  <c r="I52"/>
  <c r="J146"/>
  <c r="J68"/>
  <c r="J186"/>
  <c r="J22"/>
  <c r="J13"/>
  <c r="K52"/>
  <c r="L146"/>
  <c r="L68"/>
  <c r="L186"/>
  <c r="L22"/>
  <c r="G135"/>
  <c r="F135"/>
  <c r="M52"/>
  <c r="P66"/>
  <c r="P65"/>
  <c r="O65"/>
  <c r="N65"/>
  <c r="M65"/>
  <c r="L65"/>
  <c r="K65"/>
  <c r="J65"/>
  <c r="I65"/>
  <c r="H65"/>
  <c r="G65"/>
  <c r="F65"/>
  <c r="E65"/>
  <c r="D31" i="38"/>
  <c r="D277"/>
  <c r="N277"/>
  <c r="G126" i="14"/>
  <c r="G128"/>
  <c r="K118"/>
  <c r="L159"/>
  <c r="K159"/>
  <c r="J159"/>
  <c r="I159"/>
  <c r="H159"/>
  <c r="G159"/>
  <c r="L119"/>
  <c r="K119"/>
  <c r="J119"/>
  <c r="P50"/>
  <c r="H128"/>
  <c r="H127"/>
  <c r="G127"/>
  <c r="F127"/>
  <c r="D358" i="38"/>
  <c r="E144" i="14"/>
  <c r="G144"/>
  <c r="H144"/>
  <c r="I144"/>
  <c r="F213" i="38"/>
  <c r="E213"/>
  <c r="H182" i="14"/>
  <c r="H150"/>
  <c r="H109"/>
  <c r="H190"/>
  <c r="H213" i="38"/>
  <c r="J182" i="14"/>
  <c r="L150"/>
  <c r="L109"/>
  <c r="L190"/>
  <c r="M128"/>
  <c r="M127"/>
  <c r="L127"/>
  <c r="K127"/>
  <c r="J127"/>
  <c r="I127"/>
  <c r="G176"/>
  <c r="G175"/>
  <c r="F175"/>
  <c r="G182"/>
  <c r="G184"/>
  <c r="H184"/>
  <c r="G106"/>
  <c r="F106"/>
  <c r="E106"/>
  <c r="P105"/>
  <c r="N213" i="38"/>
  <c r="K150" i="14"/>
  <c r="K109"/>
  <c r="F114"/>
  <c r="F118"/>
  <c r="F40"/>
  <c r="E40"/>
  <c r="F41"/>
  <c r="H114"/>
  <c r="H41"/>
  <c r="J114"/>
  <c r="J41"/>
  <c r="L114"/>
  <c r="L41"/>
  <c r="K41"/>
  <c r="M39"/>
  <c r="M114"/>
  <c r="M115"/>
  <c r="L115"/>
  <c r="K115"/>
  <c r="J115"/>
  <c r="I115"/>
  <c r="H115"/>
  <c r="G115"/>
  <c r="N41"/>
  <c r="G52"/>
  <c r="O52"/>
  <c r="O22"/>
  <c r="I118"/>
  <c r="I123"/>
  <c r="H123"/>
  <c r="G123"/>
  <c r="F123"/>
  <c r="E123"/>
  <c r="G118"/>
  <c r="J175"/>
  <c r="I175"/>
  <c r="H175"/>
  <c r="M150"/>
  <c r="M151"/>
  <c r="L151"/>
  <c r="K151"/>
  <c r="J151"/>
  <c r="G136"/>
  <c r="G137"/>
  <c r="F137"/>
  <c r="P51"/>
  <c r="D21" i="10"/>
  <c r="L143" i="14"/>
  <c r="K143"/>
  <c r="J143"/>
  <c r="I143"/>
  <c r="H143"/>
  <c r="G143"/>
  <c r="F143"/>
  <c r="F52"/>
  <c r="G146"/>
  <c r="E121" i="38"/>
  <c r="D121"/>
  <c r="C121"/>
  <c r="G68" i="14"/>
  <c r="G22"/>
  <c r="O26"/>
  <c r="O30"/>
  <c r="O13"/>
  <c r="F115"/>
  <c r="E115"/>
  <c r="D115"/>
  <c r="F116"/>
  <c r="J144"/>
  <c r="K146"/>
  <c r="K68"/>
  <c r="K186"/>
  <c r="K22"/>
  <c r="K13"/>
  <c r="K17"/>
  <c r="N9" i="16"/>
  <c r="G121" i="38"/>
  <c r="F121"/>
  <c r="I146" i="14"/>
  <c r="I68"/>
  <c r="I22"/>
  <c r="I26"/>
  <c r="I30"/>
  <c r="I150"/>
  <c r="H161"/>
  <c r="I160"/>
  <c r="J190"/>
  <c r="H243" i="38"/>
  <c r="G243"/>
  <c r="F243"/>
  <c r="E243"/>
  <c r="E45" i="14"/>
  <c r="G45"/>
  <c r="H45"/>
  <c r="I45"/>
  <c r="H140"/>
  <c r="F279" i="38"/>
  <c r="G358"/>
  <c r="D2"/>
  <c r="D276"/>
  <c r="E276"/>
  <c r="I151" i="14"/>
  <c r="H151"/>
  <c r="K190"/>
  <c r="G129"/>
  <c r="F129"/>
  <c r="G150"/>
  <c r="F120"/>
  <c r="F119"/>
  <c r="H185"/>
  <c r="G185"/>
  <c r="I184"/>
  <c r="G177"/>
  <c r="H176"/>
  <c r="M146"/>
  <c r="M147"/>
  <c r="L147"/>
  <c r="K147"/>
  <c r="J147"/>
  <c r="I147"/>
  <c r="H147"/>
  <c r="G147"/>
  <c r="M68"/>
  <c r="M186"/>
  <c r="M187"/>
  <c r="L187"/>
  <c r="K187"/>
  <c r="J187"/>
  <c r="M22"/>
  <c r="M26"/>
  <c r="L26"/>
  <c r="K26"/>
  <c r="J26"/>
  <c r="L13"/>
  <c r="I13"/>
  <c r="J17"/>
  <c r="M9" i="16"/>
  <c r="H26" i="14"/>
  <c r="H13"/>
  <c r="G190"/>
  <c r="G110"/>
  <c r="F110"/>
  <c r="E110"/>
  <c r="F125"/>
  <c r="G124"/>
  <c r="F2" i="38"/>
  <c r="F276"/>
  <c r="G276"/>
  <c r="P39" i="14"/>
  <c r="N2" i="38"/>
  <c r="H2"/>
  <c r="H276"/>
  <c r="H129" i="14"/>
  <c r="I119"/>
  <c r="H119"/>
  <c r="G119"/>
  <c r="D356" i="38"/>
  <c r="F356"/>
  <c r="C21" i="10"/>
  <c r="G19"/>
  <c r="F19"/>
  <c r="E19"/>
  <c r="D19"/>
  <c r="C19"/>
  <c r="G18"/>
  <c r="F18"/>
  <c r="E18"/>
  <c r="D18"/>
  <c r="C18"/>
  <c r="B18"/>
  <c r="G15"/>
  <c r="F15"/>
  <c r="E15"/>
  <c r="D15"/>
  <c r="C15"/>
  <c r="B15"/>
  <c r="J27"/>
  <c r="I27"/>
  <c r="G7"/>
  <c r="F7"/>
  <c r="E7"/>
  <c r="D7"/>
  <c r="C7"/>
  <c r="B7"/>
  <c r="K27"/>
  <c r="K28"/>
  <c r="E6"/>
  <c r="D6"/>
  <c r="C6"/>
  <c r="B6"/>
  <c r="G4"/>
  <c r="F4"/>
  <c r="E4"/>
  <c r="D4"/>
  <c r="C4"/>
  <c r="B4"/>
  <c r="J67" i="30"/>
  <c r="I67"/>
  <c r="H67"/>
  <c r="G67"/>
  <c r="F67"/>
  <c r="E67"/>
  <c r="D67"/>
  <c r="C67"/>
  <c r="B67"/>
  <c r="N27" i="10"/>
  <c r="N28"/>
  <c r="I34"/>
  <c r="I28"/>
  <c r="J34"/>
  <c r="J28"/>
  <c r="H355" i="38"/>
  <c r="K3" i="16"/>
  <c r="H17" i="14"/>
  <c r="K9" i="16"/>
  <c r="O3"/>
  <c r="N3"/>
  <c r="M3"/>
  <c r="L17" i="14"/>
  <c r="O7" i="16"/>
  <c r="O9"/>
  <c r="F121" i="14"/>
  <c r="G120"/>
  <c r="E355" i="38"/>
  <c r="I140" i="14"/>
  <c r="J45"/>
  <c r="I129"/>
  <c r="I161"/>
  <c r="J160"/>
  <c r="I186"/>
  <c r="I190"/>
  <c r="K144"/>
  <c r="E116"/>
  <c r="F117"/>
  <c r="E117"/>
  <c r="G116"/>
  <c r="N13"/>
  <c r="R3" i="16"/>
  <c r="O17" i="14"/>
  <c r="G26"/>
  <c r="G13"/>
  <c r="F150"/>
  <c r="F152"/>
  <c r="F146"/>
  <c r="F148"/>
  <c r="F68"/>
  <c r="P52"/>
  <c r="N121" i="38"/>
  <c r="H121"/>
  <c r="F22" i="14"/>
  <c r="F147"/>
  <c r="G355" i="38"/>
  <c r="G125" i="14"/>
  <c r="H124"/>
  <c r="H34"/>
  <c r="H30"/>
  <c r="L3" i="16"/>
  <c r="I17" i="14"/>
  <c r="L9" i="16"/>
  <c r="J34" i="14"/>
  <c r="I34"/>
  <c r="J30"/>
  <c r="I176"/>
  <c r="H177"/>
  <c r="I185"/>
  <c r="J184"/>
  <c r="D355" i="38"/>
  <c r="F358"/>
  <c r="N30" i="14"/>
  <c r="M30"/>
  <c r="L30"/>
  <c r="K30"/>
  <c r="O31"/>
  <c r="N31"/>
  <c r="M31"/>
  <c r="E241" i="38"/>
  <c r="D241"/>
  <c r="C241"/>
  <c r="G186" i="14"/>
  <c r="I187"/>
  <c r="H187"/>
  <c r="G151"/>
  <c r="F151"/>
  <c r="M7" i="30"/>
  <c r="L7"/>
  <c r="K7"/>
  <c r="J7"/>
  <c r="I7"/>
  <c r="H7"/>
  <c r="G7"/>
  <c r="F7"/>
  <c r="E7"/>
  <c r="D7"/>
  <c r="C7"/>
  <c r="B7"/>
  <c r="M31" i="34"/>
  <c r="M32"/>
  <c r="L31"/>
  <c r="L32"/>
  <c r="K31"/>
  <c r="K32"/>
  <c r="J31"/>
  <c r="J32"/>
  <c r="I31"/>
  <c r="I32"/>
  <c r="H31"/>
  <c r="H32"/>
  <c r="G31"/>
  <c r="G32"/>
  <c r="F31"/>
  <c r="F32"/>
  <c r="E31"/>
  <c r="E32"/>
  <c r="D31"/>
  <c r="D32"/>
  <c r="C31"/>
  <c r="C32"/>
  <c r="B31"/>
  <c r="B32"/>
  <c r="M4"/>
  <c r="L4"/>
  <c r="K4"/>
  <c r="J4"/>
  <c r="I4"/>
  <c r="H4"/>
  <c r="G4"/>
  <c r="F4"/>
  <c r="E4"/>
  <c r="D4"/>
  <c r="C4"/>
  <c r="B4"/>
  <c r="D215" i="22"/>
  <c r="C215"/>
  <c r="B215"/>
  <c r="D214"/>
  <c r="C214"/>
  <c r="B214"/>
  <c r="L31" i="14"/>
  <c r="K31"/>
  <c r="J31"/>
  <c r="I31"/>
  <c r="H31"/>
  <c r="J185"/>
  <c r="H125"/>
  <c r="I124"/>
  <c r="G148"/>
  <c r="J3" i="16"/>
  <c r="G17" i="14"/>
  <c r="J9" i="16"/>
  <c r="M13" i="14"/>
  <c r="Q3" i="16"/>
  <c r="N17" i="14"/>
  <c r="L144"/>
  <c r="J161"/>
  <c r="K160"/>
  <c r="Q9" i="16"/>
  <c r="I177" i="14"/>
  <c r="J176"/>
  <c r="F26"/>
  <c r="F23"/>
  <c r="P22"/>
  <c r="F13"/>
  <c r="F190"/>
  <c r="F192"/>
  <c r="F186"/>
  <c r="F188"/>
  <c r="G152"/>
  <c r="G30"/>
  <c r="G31"/>
  <c r="G34"/>
  <c r="H116"/>
  <c r="K45"/>
  <c r="J129"/>
  <c r="J140"/>
  <c r="H120"/>
  <c r="G187"/>
  <c r="F187"/>
  <c r="AJ10" i="22"/>
  <c r="AI10"/>
  <c r="AH10"/>
  <c r="AG10"/>
  <c r="AF10"/>
  <c r="AE10"/>
  <c r="AD10"/>
  <c r="AC10"/>
  <c r="AB10"/>
  <c r="AA10"/>
  <c r="Z10"/>
  <c r="Y10"/>
  <c r="M10"/>
  <c r="L10"/>
  <c r="K10"/>
  <c r="J10"/>
  <c r="I10"/>
  <c r="H10"/>
  <c r="G10"/>
  <c r="F10"/>
  <c r="E10"/>
  <c r="D10"/>
  <c r="C10"/>
  <c r="B10"/>
  <c r="AZ8"/>
  <c r="AY8"/>
  <c r="AX8"/>
  <c r="AW8"/>
  <c r="AV8"/>
  <c r="AU8"/>
  <c r="AT8"/>
  <c r="AS8"/>
  <c r="AR8"/>
  <c r="AQ8"/>
  <c r="AP8"/>
  <c r="AO8"/>
  <c r="AJ8"/>
  <c r="AI8"/>
  <c r="AH8"/>
  <c r="AG8"/>
  <c r="AF8"/>
  <c r="AE8"/>
  <c r="AD8"/>
  <c r="AC8"/>
  <c r="AB8"/>
  <c r="AA8"/>
  <c r="Z8"/>
  <c r="Y8"/>
  <c r="M8"/>
  <c r="L8"/>
  <c r="K8"/>
  <c r="J8"/>
  <c r="I8"/>
  <c r="H8"/>
  <c r="G8"/>
  <c r="F8"/>
  <c r="E8"/>
  <c r="D8"/>
  <c r="C8"/>
  <c r="B8"/>
  <c r="K140" i="14"/>
  <c r="I116"/>
  <c r="G192"/>
  <c r="F34"/>
  <c r="F27"/>
  <c r="E27"/>
  <c r="P26"/>
  <c r="F30"/>
  <c r="F32"/>
  <c r="K161"/>
  <c r="L160"/>
  <c r="M144"/>
  <c r="P3" i="16"/>
  <c r="M17" i="14"/>
  <c r="P7" i="16"/>
  <c r="P9"/>
  <c r="H148" i="14"/>
  <c r="E214" i="22"/>
  <c r="I120" i="14"/>
  <c r="L45"/>
  <c r="K129"/>
  <c r="H152"/>
  <c r="E215" i="22"/>
  <c r="G188" i="14"/>
  <c r="I3" i="16"/>
  <c r="F17" i="14"/>
  <c r="F14"/>
  <c r="P13"/>
  <c r="E23"/>
  <c r="G23"/>
  <c r="H23"/>
  <c r="K176"/>
  <c r="J177"/>
  <c r="M286" i="38"/>
  <c r="L286"/>
  <c r="K286"/>
  <c r="J286"/>
  <c r="I286"/>
  <c r="I125" i="14"/>
  <c r="J124"/>
  <c r="M24" i="29"/>
  <c r="L24"/>
  <c r="K18"/>
  <c r="J18"/>
  <c r="I18"/>
  <c r="H18"/>
  <c r="H24"/>
  <c r="G24"/>
  <c r="G18"/>
  <c r="F18"/>
  <c r="F24"/>
  <c r="E18"/>
  <c r="E24"/>
  <c r="D18"/>
  <c r="D24"/>
  <c r="C18"/>
  <c r="C24"/>
  <c r="B18"/>
  <c r="N18"/>
  <c r="J125" i="14"/>
  <c r="K124"/>
  <c r="S3" i="16"/>
  <c r="P53" i="14"/>
  <c r="Q13"/>
  <c r="F18"/>
  <c r="P17"/>
  <c r="H188"/>
  <c r="M45"/>
  <c r="L129"/>
  <c r="I148"/>
  <c r="F214" i="22"/>
  <c r="L161" i="14"/>
  <c r="M160"/>
  <c r="M161"/>
  <c r="F33"/>
  <c r="G32"/>
  <c r="H192"/>
  <c r="J116"/>
  <c r="F31"/>
  <c r="K177"/>
  <c r="L176"/>
  <c r="I4" i="16"/>
  <c r="G14" i="14"/>
  <c r="I152"/>
  <c r="F215" i="22"/>
  <c r="J120" i="14"/>
  <c r="L140"/>
  <c r="B24" i="29"/>
  <c r="N16"/>
  <c r="N15"/>
  <c r="N14"/>
  <c r="N10"/>
  <c r="K6"/>
  <c r="K24"/>
  <c r="J6"/>
  <c r="J24"/>
  <c r="I24"/>
  <c r="I6"/>
  <c r="H6"/>
  <c r="G6"/>
  <c r="F6"/>
  <c r="E6"/>
  <c r="D6"/>
  <c r="C6"/>
  <c r="B6"/>
  <c r="N5"/>
  <c r="N4"/>
  <c r="N3"/>
  <c r="N6"/>
  <c r="N24"/>
  <c r="K120" i="14"/>
  <c r="J4" i="16"/>
  <c r="H14" i="14"/>
  <c r="M176"/>
  <c r="M177"/>
  <c r="L177"/>
  <c r="K116"/>
  <c r="I192"/>
  <c r="H32"/>
  <c r="J148"/>
  <c r="N45"/>
  <c r="O45"/>
  <c r="M129"/>
  <c r="I8" i="16"/>
  <c r="G18" i="14"/>
  <c r="T3" i="16"/>
  <c r="T87"/>
  <c r="S87"/>
  <c r="T86"/>
  <c r="S86"/>
  <c r="T88"/>
  <c r="S88"/>
  <c r="R93"/>
  <c r="Q93"/>
  <c r="P93"/>
  <c r="O93"/>
  <c r="T85"/>
  <c r="M140" i="14"/>
  <c r="J152"/>
  <c r="I188"/>
  <c r="S7" i="16"/>
  <c r="Q17" i="14"/>
  <c r="I9" i="16"/>
  <c r="K125" i="14"/>
  <c r="L124"/>
  <c r="O143" i="12"/>
  <c r="N143"/>
  <c r="M143"/>
  <c r="L143"/>
  <c r="K143"/>
  <c r="J143"/>
  <c r="I143"/>
  <c r="H143"/>
  <c r="G143"/>
  <c r="F143"/>
  <c r="E143"/>
  <c r="D143"/>
  <c r="O142"/>
  <c r="N142"/>
  <c r="M142"/>
  <c r="L142"/>
  <c r="K142"/>
  <c r="J142"/>
  <c r="I142"/>
  <c r="H142"/>
  <c r="G142"/>
  <c r="F142"/>
  <c r="T7" i="16"/>
  <c r="T91"/>
  <c r="T133"/>
  <c r="S133"/>
  <c r="L125" i="14"/>
  <c r="M124"/>
  <c r="M125"/>
  <c r="J188"/>
  <c r="K152"/>
  <c r="J8" i="16"/>
  <c r="H18" i="14"/>
  <c r="K148"/>
  <c r="I32"/>
  <c r="J192"/>
  <c r="L116"/>
  <c r="K4" i="16"/>
  <c r="I14" i="14"/>
  <c r="L120"/>
  <c r="E142" i="12"/>
  <c r="D142"/>
  <c r="L4" i="16"/>
  <c r="J14" i="14"/>
  <c r="M116"/>
  <c r="K192"/>
  <c r="J32"/>
  <c r="K8" i="16"/>
  <c r="I18" i="14"/>
  <c r="K188"/>
  <c r="M120"/>
  <c r="L148"/>
  <c r="L152"/>
  <c r="O135" i="12"/>
  <c r="N135"/>
  <c r="M135"/>
  <c r="L135"/>
  <c r="K135"/>
  <c r="J135"/>
  <c r="I135"/>
  <c r="H135"/>
  <c r="G135"/>
  <c r="F135"/>
  <c r="E135"/>
  <c r="D135"/>
  <c r="O134"/>
  <c r="N134"/>
  <c r="M134"/>
  <c r="L134"/>
  <c r="K134"/>
  <c r="J134"/>
  <c r="I134"/>
  <c r="H134"/>
  <c r="G134"/>
  <c r="F134"/>
  <c r="E134"/>
  <c r="D134"/>
  <c r="M152" i="14"/>
  <c r="M148"/>
  <c r="L188"/>
  <c r="L8" i="16"/>
  <c r="J18" i="14"/>
  <c r="K32"/>
  <c r="L192"/>
  <c r="M4" i="16"/>
  <c r="K14" i="14"/>
  <c r="O127" i="12"/>
  <c r="N127"/>
  <c r="M127"/>
  <c r="L127"/>
  <c r="K127"/>
  <c r="J127"/>
  <c r="I127"/>
  <c r="H127"/>
  <c r="G127"/>
  <c r="F127"/>
  <c r="E127"/>
  <c r="D127"/>
  <c r="O126"/>
  <c r="N126"/>
  <c r="M126"/>
  <c r="L126"/>
  <c r="K126"/>
  <c r="J126"/>
  <c r="I126"/>
  <c r="H126"/>
  <c r="G126"/>
  <c r="F126"/>
  <c r="E126"/>
  <c r="D126"/>
  <c r="AK105"/>
  <c r="N4" i="16"/>
  <c r="L14" i="14"/>
  <c r="L32"/>
  <c r="M8" i="16"/>
  <c r="K18" i="14"/>
  <c r="M188"/>
  <c r="B91" i="12"/>
  <c r="B84"/>
  <c r="AV83"/>
  <c r="AU83"/>
  <c r="AT83"/>
  <c r="AS83"/>
  <c r="AR83"/>
  <c r="AQ83"/>
  <c r="AP83"/>
  <c r="AO83"/>
  <c r="AN83"/>
  <c r="AM83"/>
  <c r="AL83"/>
  <c r="AK83"/>
  <c r="AF83"/>
  <c r="AE83"/>
  <c r="AD83"/>
  <c r="AC83"/>
  <c r="AB83"/>
  <c r="AA83"/>
  <c r="Z83"/>
  <c r="Y83"/>
  <c r="X83"/>
  <c r="W83"/>
  <c r="V83"/>
  <c r="U83"/>
  <c r="O83"/>
  <c r="N83"/>
  <c r="M83"/>
  <c r="L83"/>
  <c r="K83"/>
  <c r="J83"/>
  <c r="I83"/>
  <c r="H83"/>
  <c r="G83"/>
  <c r="F83"/>
  <c r="E83"/>
  <c r="D83"/>
  <c r="N8" i="16"/>
  <c r="L18" i="14"/>
  <c r="M32"/>
  <c r="O4" i="16"/>
  <c r="M14" i="14"/>
  <c r="AV78" i="12"/>
  <c r="AU78"/>
  <c r="AT78"/>
  <c r="AS78"/>
  <c r="AR78"/>
  <c r="AQ78"/>
  <c r="AP78"/>
  <c r="AO78"/>
  <c r="AN78"/>
  <c r="AM78"/>
  <c r="AL78"/>
  <c r="AF78"/>
  <c r="AE78"/>
  <c r="AD78"/>
  <c r="AC78"/>
  <c r="AB78"/>
  <c r="AA78"/>
  <c r="Z78"/>
  <c r="Y78"/>
  <c r="X78"/>
  <c r="W78"/>
  <c r="V78"/>
  <c r="O78"/>
  <c r="N78"/>
  <c r="M78"/>
  <c r="L78"/>
  <c r="K78"/>
  <c r="J78"/>
  <c r="I78"/>
  <c r="H78"/>
  <c r="G78"/>
  <c r="F78"/>
  <c r="E78"/>
  <c r="O76"/>
  <c r="N76"/>
  <c r="M76"/>
  <c r="L76"/>
  <c r="K76"/>
  <c r="J76"/>
  <c r="I76"/>
  <c r="H76"/>
  <c r="G76"/>
  <c r="F76"/>
  <c r="E76"/>
  <c r="D76"/>
  <c r="AW71"/>
  <c r="AG71"/>
  <c r="P71"/>
  <c r="AW66"/>
  <c r="AV66"/>
  <c r="AU66"/>
  <c r="AT66"/>
  <c r="AS66"/>
  <c r="AR66"/>
  <c r="AQ66"/>
  <c r="AP66"/>
  <c r="AO66"/>
  <c r="AN66"/>
  <c r="AM66"/>
  <c r="AL66"/>
  <c r="AK66"/>
  <c r="AG66"/>
  <c r="AF66"/>
  <c r="AE66"/>
  <c r="AD66"/>
  <c r="AC66"/>
  <c r="AB66"/>
  <c r="AA66"/>
  <c r="Z66"/>
  <c r="Y66"/>
  <c r="X66"/>
  <c r="W66"/>
  <c r="V66"/>
  <c r="U66"/>
  <c r="AW64"/>
  <c r="AG64"/>
  <c r="N4" i="34"/>
  <c r="N7" i="30"/>
  <c r="P4" i="16"/>
  <c r="N14" i="14"/>
  <c r="N32"/>
  <c r="O8" i="16"/>
  <c r="M18" i="14"/>
  <c r="P66" i="12"/>
  <c r="P64"/>
  <c r="P8" i="16"/>
  <c r="N18" i="14"/>
  <c r="O32"/>
  <c r="Q4" i="16"/>
  <c r="O14" i="14"/>
  <c r="R4" i="16"/>
  <c r="AW60" i="12"/>
  <c r="AG60"/>
  <c r="Q8" i="16"/>
  <c r="O18" i="14"/>
  <c r="R8" i="16"/>
  <c r="AK57" i="12"/>
  <c r="AF57"/>
  <c r="AE57"/>
  <c r="AD57"/>
  <c r="AC57"/>
  <c r="AB57"/>
  <c r="AA57"/>
  <c r="Z57"/>
  <c r="Y57"/>
  <c r="X57"/>
  <c r="W57"/>
  <c r="V57"/>
  <c r="U57"/>
  <c r="O57"/>
  <c r="N57"/>
  <c r="M57"/>
  <c r="L57"/>
  <c r="K57"/>
  <c r="J57"/>
  <c r="I57"/>
  <c r="H57"/>
  <c r="G57"/>
  <c r="F57"/>
  <c r="E57"/>
  <c r="D57"/>
  <c r="AW56"/>
  <c r="AG56"/>
  <c r="P56"/>
  <c r="L27"/>
  <c r="K27"/>
  <c r="J27"/>
  <c r="I27"/>
  <c r="H27"/>
  <c r="G27"/>
  <c r="F27"/>
  <c r="E27"/>
  <c r="D27"/>
  <c r="AG26"/>
  <c r="P26"/>
  <c r="P24"/>
  <c r="AK20"/>
  <c r="AK23"/>
  <c r="C37" i="30"/>
  <c r="G37"/>
  <c r="I37"/>
  <c r="K99"/>
  <c r="L99"/>
  <c r="H36"/>
  <c r="F37"/>
  <c r="H37"/>
  <c r="AG13" i="12"/>
  <c r="AW13"/>
  <c r="AX13"/>
  <c r="F99" i="30"/>
  <c r="J99"/>
  <c r="H5"/>
  <c r="H34" i="22"/>
  <c r="F5" i="30"/>
  <c r="F34" i="22"/>
  <c r="E37" i="30"/>
  <c r="E99"/>
  <c r="G99"/>
  <c r="H99"/>
  <c r="G36"/>
  <c r="I5"/>
  <c r="I34" i="22"/>
  <c r="G5" i="30"/>
  <c r="G34" i="22"/>
  <c r="C5" i="30"/>
  <c r="C34" i="22"/>
  <c r="B37" i="30"/>
  <c r="AM11" i="12"/>
  <c r="W11"/>
  <c r="W84"/>
  <c r="V11"/>
  <c r="U11"/>
  <c r="U84"/>
  <c r="V84"/>
  <c r="B98" i="30"/>
  <c r="D111" i="12"/>
  <c r="D14"/>
  <c r="D98" i="30"/>
  <c r="F111" i="12"/>
  <c r="F14"/>
  <c r="F98" i="30"/>
  <c r="H111" i="12"/>
  <c r="H14"/>
  <c r="H103"/>
  <c r="J98" i="30"/>
  <c r="L111" i="12"/>
  <c r="L14"/>
  <c r="L28"/>
  <c r="L98" i="30"/>
  <c r="N111" i="12"/>
  <c r="V111"/>
  <c r="X111"/>
  <c r="Z111"/>
  <c r="AB111"/>
  <c r="AD111"/>
  <c r="AF111"/>
  <c r="AL111"/>
  <c r="AN111"/>
  <c r="AP111"/>
  <c r="AR111"/>
  <c r="AT111"/>
  <c r="AV111"/>
  <c r="C99" i="30"/>
  <c r="B5"/>
  <c r="B34" i="22"/>
  <c r="F36" i="30"/>
  <c r="I99"/>
  <c r="AL11" i="12"/>
  <c r="AK11"/>
  <c r="AM84"/>
  <c r="C98" i="30"/>
  <c r="E111" i="12"/>
  <c r="E14"/>
  <c r="E28"/>
  <c r="E98" i="30"/>
  <c r="G111" i="12"/>
  <c r="G14"/>
  <c r="G28"/>
  <c r="H98" i="30"/>
  <c r="J111" i="12"/>
  <c r="J14"/>
  <c r="K98" i="30"/>
  <c r="M111" i="12"/>
  <c r="M14"/>
  <c r="N14"/>
  <c r="N15"/>
  <c r="N17"/>
  <c r="N18"/>
  <c r="U111"/>
  <c r="W111"/>
  <c r="Y111"/>
  <c r="AA111"/>
  <c r="AC111"/>
  <c r="AE111"/>
  <c r="AK111"/>
  <c r="AM111"/>
  <c r="AO111"/>
  <c r="AQ111"/>
  <c r="AS111"/>
  <c r="AU111"/>
  <c r="B99" i="30"/>
  <c r="D99"/>
  <c r="E5"/>
  <c r="E34" i="22"/>
  <c r="D37" i="30"/>
  <c r="G98"/>
  <c r="I111" i="12"/>
  <c r="I14"/>
  <c r="H28"/>
  <c r="H15"/>
  <c r="G15"/>
  <c r="D28"/>
  <c r="AW111"/>
  <c r="AG111"/>
  <c r="D5" i="30"/>
  <c r="D34" i="22"/>
  <c r="J28" i="12"/>
  <c r="J103"/>
  <c r="AL84"/>
  <c r="E36" i="30"/>
  <c r="G103" i="12"/>
  <c r="I98" i="30"/>
  <c r="K111" i="12"/>
  <c r="K14"/>
  <c r="K28"/>
  <c r="F28"/>
  <c r="F15"/>
  <c r="E15"/>
  <c r="D15"/>
  <c r="AX12"/>
  <c r="M15"/>
  <c r="L15"/>
  <c r="K15"/>
  <c r="J15"/>
  <c r="I15"/>
  <c r="D36" i="30"/>
  <c r="F103" i="12"/>
  <c r="AK84"/>
  <c r="I28"/>
  <c r="I103"/>
  <c r="AM10"/>
  <c r="AL10"/>
  <c r="AK10"/>
  <c r="W10"/>
  <c r="V10"/>
  <c r="U10"/>
  <c r="J38"/>
  <c r="I38"/>
  <c r="G38"/>
  <c r="D38"/>
  <c r="AJ7"/>
  <c r="T7"/>
  <c r="C7"/>
  <c r="E38"/>
  <c r="K38"/>
  <c r="I5" i="22"/>
  <c r="H5"/>
  <c r="G5"/>
  <c r="U79" i="12"/>
  <c r="U42"/>
  <c r="U38"/>
  <c r="W79"/>
  <c r="W42"/>
  <c r="AK79"/>
  <c r="AK38"/>
  <c r="AM79"/>
  <c r="AM38"/>
  <c r="F11" i="29"/>
  <c r="E11"/>
  <c r="D11"/>
  <c r="C36" i="30"/>
  <c r="E103" i="12"/>
  <c r="F38"/>
  <c r="H38"/>
  <c r="V79"/>
  <c r="V42"/>
  <c r="V38"/>
  <c r="AL79"/>
  <c r="AL38"/>
  <c r="AL88"/>
  <c r="B36" i="30"/>
  <c r="D103" i="12"/>
  <c r="D85"/>
  <c r="AM88"/>
  <c r="AK88"/>
  <c r="AK80"/>
  <c r="W88"/>
  <c r="F5" i="22"/>
  <c r="E5"/>
  <c r="D5"/>
  <c r="C5"/>
  <c r="B5"/>
  <c r="V88" i="12"/>
  <c r="L88"/>
  <c r="H88"/>
  <c r="F88"/>
  <c r="U80"/>
  <c r="K88"/>
  <c r="E88"/>
  <c r="C11" i="29"/>
  <c r="AJ3" i="12"/>
  <c r="T3"/>
  <c r="C3"/>
  <c r="I67" i="23"/>
  <c r="F67"/>
  <c r="I66"/>
  <c r="F66"/>
  <c r="I65"/>
  <c r="F65"/>
  <c r="I63"/>
  <c r="F63"/>
  <c r="I62"/>
  <c r="F62"/>
  <c r="I61"/>
  <c r="F61"/>
  <c r="I59"/>
  <c r="F59"/>
  <c r="I58"/>
  <c r="F58"/>
  <c r="I57"/>
  <c r="F57"/>
  <c r="I55"/>
  <c r="F55"/>
  <c r="F52"/>
  <c r="I51"/>
  <c r="F51"/>
  <c r="I50"/>
  <c r="F50"/>
  <c r="I49"/>
  <c r="F49"/>
  <c r="F46"/>
  <c r="E46"/>
  <c r="I45"/>
  <c r="F45"/>
  <c r="E45"/>
  <c r="I44"/>
  <c r="F44"/>
  <c r="E44"/>
  <c r="I43"/>
  <c r="I46"/>
  <c r="F43"/>
  <c r="E43"/>
  <c r="F40"/>
  <c r="E40"/>
  <c r="I39"/>
  <c r="F39"/>
  <c r="E39"/>
  <c r="I38"/>
  <c r="J38"/>
  <c r="F38"/>
  <c r="E38"/>
  <c r="I37"/>
  <c r="F37"/>
  <c r="E37"/>
  <c r="C61" i="22"/>
  <c r="D88" i="12"/>
  <c r="D80"/>
  <c r="I61" i="22"/>
  <c r="J88" i="12"/>
  <c r="K7" i="29"/>
  <c r="M88" i="12"/>
  <c r="D7" i="29"/>
  <c r="F61" i="22"/>
  <c r="G88" i="12"/>
  <c r="L7" i="29"/>
  <c r="AA61" i="22"/>
  <c r="AP61"/>
  <c r="C7" i="29"/>
  <c r="B7"/>
  <c r="I7"/>
  <c r="F7"/>
  <c r="E7"/>
  <c r="J7"/>
  <c r="Z61" i="22"/>
  <c r="AO61"/>
  <c r="AK89" i="12"/>
  <c r="AO91" i="22"/>
  <c r="AQ61"/>
  <c r="B11" i="29"/>
  <c r="I40" i="23"/>
  <c r="C28"/>
  <c r="H7" i="29"/>
  <c r="B61" i="22"/>
  <c r="D89" i="12"/>
  <c r="E89"/>
  <c r="AL89"/>
  <c r="E61" i="22"/>
  <c r="D61"/>
  <c r="H61"/>
  <c r="I88" i="12"/>
  <c r="AP91" i="22"/>
  <c r="AM89" i="12"/>
  <c r="AQ91" i="22"/>
  <c r="C91"/>
  <c r="B91"/>
  <c r="F89" i="12"/>
  <c r="D91" i="22"/>
  <c r="G61"/>
  <c r="G7" i="29"/>
  <c r="G89" i="12"/>
  <c r="E91" i="22"/>
  <c r="H89" i="12"/>
  <c r="B7" i="23"/>
  <c r="A3"/>
  <c r="F91" i="22"/>
  <c r="I89" i="12"/>
  <c r="E31" i="37"/>
  <c r="F31"/>
  <c r="H26"/>
  <c r="G26"/>
  <c r="E26"/>
  <c r="E27"/>
  <c r="D26"/>
  <c r="H24"/>
  <c r="H33"/>
  <c r="G91" i="22"/>
  <c r="J89" i="12"/>
  <c r="I26" i="37"/>
  <c r="I27"/>
  <c r="G20"/>
  <c r="E20"/>
  <c r="F20"/>
  <c r="D20"/>
  <c r="H18"/>
  <c r="J26"/>
  <c r="J27"/>
  <c r="I18" i="23"/>
  <c r="H91" i="22"/>
  <c r="K89" i="12"/>
  <c r="K7" i="37"/>
  <c r="H7"/>
  <c r="G7"/>
  <c r="E7"/>
  <c r="D7"/>
  <c r="H5"/>
  <c r="H10"/>
  <c r="I91" i="22"/>
  <c r="L89" i="12"/>
  <c r="F7" i="37"/>
  <c r="F8"/>
  <c r="F16"/>
  <c r="I7"/>
  <c r="J7"/>
  <c r="J8"/>
  <c r="E18" i="23"/>
  <c r="J91" i="22"/>
  <c r="M89" i="12"/>
  <c r="K91" i="22"/>
  <c r="E8" i="37"/>
  <c r="G8"/>
  <c r="I8"/>
  <c r="P45" i="16"/>
  <c r="I20" i="37"/>
  <c r="J20"/>
  <c r="E19" i="23"/>
  <c r="G19"/>
  <c r="F19"/>
  <c r="J23"/>
  <c r="J25"/>
  <c r="AK106" i="12"/>
  <c r="AK107"/>
  <c r="M110"/>
  <c r="M112"/>
  <c r="M104"/>
  <c r="B25" i="29"/>
  <c r="C25"/>
  <c r="D25"/>
  <c r="E25"/>
  <c r="F25"/>
  <c r="G25"/>
  <c r="H25"/>
  <c r="I25"/>
  <c r="J25"/>
  <c r="K25"/>
  <c r="L25"/>
  <c r="M25"/>
  <c r="N25"/>
  <c r="Z5" i="22"/>
  <c r="Y5"/>
  <c r="R45" i="16"/>
  <c r="Q45"/>
  <c r="O45"/>
  <c r="N45"/>
  <c r="M45"/>
  <c r="L45"/>
  <c r="K45"/>
  <c r="J45"/>
  <c r="I45"/>
  <c r="H45"/>
  <c r="G45"/>
  <c r="P119"/>
  <c r="S119"/>
  <c r="R119"/>
  <c r="Q119"/>
  <c r="O119"/>
  <c r="N119"/>
  <c r="M119"/>
  <c r="L119"/>
  <c r="K119"/>
  <c r="J119"/>
  <c r="I119"/>
  <c r="H119"/>
  <c r="G119"/>
  <c r="S118"/>
  <c r="AM5" i="36"/>
  <c r="AM6"/>
  <c r="AL5"/>
  <c r="AK5"/>
  <c r="J7"/>
  <c r="J6"/>
  <c r="I7"/>
  <c r="I6"/>
  <c r="H7"/>
  <c r="H6"/>
  <c r="E7"/>
  <c r="E6"/>
  <c r="S45" i="16"/>
  <c r="S46"/>
  <c r="M72" i="12"/>
  <c r="K6" i="30"/>
  <c r="K5" i="34"/>
  <c r="D110" i="12"/>
  <c r="D104"/>
  <c r="F110"/>
  <c r="F104"/>
  <c r="H110"/>
  <c r="H112"/>
  <c r="H104"/>
  <c r="J110"/>
  <c r="J112"/>
  <c r="J104"/>
  <c r="L110"/>
  <c r="L112"/>
  <c r="L104"/>
  <c r="I36" i="30"/>
  <c r="K103" i="12"/>
  <c r="E110"/>
  <c r="E112"/>
  <c r="D112"/>
  <c r="E104"/>
  <c r="G110"/>
  <c r="G112"/>
  <c r="F112"/>
  <c r="G104"/>
  <c r="I110"/>
  <c r="I112"/>
  <c r="I104"/>
  <c r="K110"/>
  <c r="K112"/>
  <c r="K104"/>
  <c r="H5" i="34"/>
  <c r="H6" i="30"/>
  <c r="J72" i="12"/>
  <c r="F6" i="30"/>
  <c r="F5" i="34"/>
  <c r="H72" i="12"/>
  <c r="J6" i="30"/>
  <c r="J5" i="34"/>
  <c r="L72" i="12"/>
  <c r="M74"/>
  <c r="M30"/>
  <c r="L30"/>
  <c r="L32"/>
  <c r="L74"/>
  <c r="H30"/>
  <c r="H32"/>
  <c r="H74"/>
  <c r="J30"/>
  <c r="J74"/>
  <c r="D5" i="34"/>
  <c r="F72" i="12"/>
  <c r="J32"/>
  <c r="D6" i="30"/>
  <c r="F74" i="12"/>
  <c r="F30"/>
  <c r="F32"/>
  <c r="C6" i="30"/>
  <c r="C5" i="34"/>
  <c r="E72" i="12"/>
  <c r="E74"/>
  <c r="E30"/>
  <c r="E32"/>
  <c r="B6" i="30"/>
  <c r="B5" i="34"/>
  <c r="D72" i="12"/>
  <c r="K34" i="10"/>
  <c r="O34"/>
  <c r="D30" i="12"/>
  <c r="D74"/>
  <c r="D32"/>
  <c r="AV57"/>
  <c r="AU57"/>
  <c r="AT57"/>
  <c r="AS57"/>
  <c r="AR57"/>
  <c r="AQ57"/>
  <c r="AP57"/>
  <c r="AO57"/>
  <c r="AN57"/>
  <c r="AM57"/>
  <c r="AL57"/>
  <c r="O39" i="16"/>
  <c r="O107"/>
  <c r="P39"/>
  <c r="P107"/>
  <c r="N88" i="12"/>
  <c r="X11"/>
  <c r="X10"/>
  <c r="Y11"/>
  <c r="Y10"/>
  <c r="Y84"/>
  <c r="Z11"/>
  <c r="Z10"/>
  <c r="AA11"/>
  <c r="AA10"/>
  <c r="AB11"/>
  <c r="AB10"/>
  <c r="AC11"/>
  <c r="AC10"/>
  <c r="AD11"/>
  <c r="AD10"/>
  <c r="AE11"/>
  <c r="AE10"/>
  <c r="AF11"/>
  <c r="AF10"/>
  <c r="AL20"/>
  <c r="AL23"/>
  <c r="AN11"/>
  <c r="AN10"/>
  <c r="AO11"/>
  <c r="AO10"/>
  <c r="AO79"/>
  <c r="AO84"/>
  <c r="AO105"/>
  <c r="AO106"/>
  <c r="AO107"/>
  <c r="AP11"/>
  <c r="AP10"/>
  <c r="AP79"/>
  <c r="AF9" i="4"/>
  <c r="AP38" i="12"/>
  <c r="AQ11"/>
  <c r="AQ10"/>
  <c r="AQ20"/>
  <c r="AR11"/>
  <c r="AR10"/>
  <c r="AR79"/>
  <c r="AR84"/>
  <c r="AR88"/>
  <c r="AR105"/>
  <c r="AR106"/>
  <c r="AR107"/>
  <c r="AR38"/>
  <c r="AS11"/>
  <c r="AS10"/>
  <c r="AS20"/>
  <c r="AT11"/>
  <c r="AT10"/>
  <c r="AT20"/>
  <c r="AU11"/>
  <c r="AU10"/>
  <c r="AV11"/>
  <c r="AV10"/>
  <c r="AV105"/>
  <c r="AV106"/>
  <c r="AV107"/>
  <c r="AV108"/>
  <c r="AG11"/>
  <c r="AG10"/>
  <c r="AL80"/>
  <c r="AM80"/>
  <c r="AK85"/>
  <c r="AL85"/>
  <c r="AM85"/>
  <c r="AN85"/>
  <c r="AO85"/>
  <c r="AP85"/>
  <c r="AQ85"/>
  <c r="AR85"/>
  <c r="AS85"/>
  <c r="G11" i="29"/>
  <c r="H11"/>
  <c r="I11"/>
  <c r="J11"/>
  <c r="K11"/>
  <c r="L11"/>
  <c r="E12" i="37"/>
  <c r="D31" i="12"/>
  <c r="E31"/>
  <c r="K61" i="22"/>
  <c r="AW67" i="12"/>
  <c r="F18" i="23"/>
  <c r="F17"/>
  <c r="J61" i="22"/>
  <c r="W38" i="12"/>
  <c r="AA5" i="22"/>
  <c r="N38" i="12"/>
  <c r="AG67"/>
  <c r="J13" i="23"/>
  <c r="N13"/>
  <c r="L5" i="22"/>
  <c r="E16" i="37"/>
  <c r="N89" i="12"/>
  <c r="V80"/>
  <c r="W80"/>
  <c r="E80"/>
  <c r="F80"/>
  <c r="G80"/>
  <c r="H80"/>
  <c r="I80"/>
  <c r="J80"/>
  <c r="K80"/>
  <c r="L80"/>
  <c r="M80"/>
  <c r="N80"/>
  <c r="P11"/>
  <c r="AH11"/>
  <c r="E85"/>
  <c r="F85"/>
  <c r="G85"/>
  <c r="H85"/>
  <c r="I85"/>
  <c r="J85"/>
  <c r="K85"/>
  <c r="L85"/>
  <c r="M85"/>
  <c r="N85"/>
  <c r="O85"/>
  <c r="AG22"/>
  <c r="M17"/>
  <c r="M18"/>
  <c r="L17"/>
  <c r="L18"/>
  <c r="K17"/>
  <c r="K18"/>
  <c r="J17"/>
  <c r="J18"/>
  <c r="I17"/>
  <c r="I18"/>
  <c r="H17"/>
  <c r="H18"/>
  <c r="G17"/>
  <c r="G18"/>
  <c r="F17"/>
  <c r="F18"/>
  <c r="E17"/>
  <c r="E18"/>
  <c r="D17"/>
  <c r="D18"/>
  <c r="AW22"/>
  <c r="AX14"/>
  <c r="D33"/>
  <c r="J120"/>
  <c r="J121"/>
  <c r="I120"/>
  <c r="I121"/>
  <c r="H120"/>
  <c r="H121"/>
  <c r="G120"/>
  <c r="G121"/>
  <c r="F120"/>
  <c r="F121"/>
  <c r="E120"/>
  <c r="E121"/>
  <c r="D120"/>
  <c r="D121"/>
  <c r="L61" i="22"/>
  <c r="B63"/>
  <c r="C63"/>
  <c r="D63"/>
  <c r="E63"/>
  <c r="F63"/>
  <c r="G63"/>
  <c r="H63"/>
  <c r="I63"/>
  <c r="L34"/>
  <c r="L63"/>
  <c r="M34"/>
  <c r="M63"/>
  <c r="R123" i="16"/>
  <c r="Q123"/>
  <c r="P123"/>
  <c r="O123"/>
  <c r="N123"/>
  <c r="M123"/>
  <c r="L123"/>
  <c r="K123"/>
  <c r="J123"/>
  <c r="I123"/>
  <c r="H123"/>
  <c r="G123"/>
  <c r="BA122"/>
  <c r="BA123"/>
  <c r="L91" i="22"/>
  <c r="M5" i="30"/>
  <c r="L5"/>
  <c r="M37"/>
  <c r="L37"/>
  <c r="O29" i="16"/>
  <c r="O30"/>
  <c r="P29"/>
  <c r="P30"/>
  <c r="R29"/>
  <c r="R30"/>
  <c r="O37"/>
  <c r="P37"/>
  <c r="R37"/>
  <c r="O40"/>
  <c r="P40"/>
  <c r="R40"/>
  <c r="AS104" i="12"/>
  <c r="AO110"/>
  <c r="AO112"/>
  <c r="AD72"/>
  <c r="AB72"/>
  <c r="Z72"/>
  <c r="X72"/>
  <c r="V72"/>
  <c r="V74"/>
  <c r="L145" i="3"/>
  <c r="O145"/>
  <c r="C141"/>
  <c r="C144"/>
  <c r="D141"/>
  <c r="D144"/>
  <c r="E141"/>
  <c r="E144"/>
  <c r="F141"/>
  <c r="F144"/>
  <c r="G141"/>
  <c r="G144"/>
  <c r="H141"/>
  <c r="H144"/>
  <c r="I141"/>
  <c r="I144"/>
  <c r="J141"/>
  <c r="J144"/>
  <c r="K141"/>
  <c r="K144"/>
  <c r="L141"/>
  <c r="L144"/>
  <c r="AX118" i="2"/>
  <c r="AV20" i="12"/>
  <c r="AV23"/>
  <c r="AP20"/>
  <c r="AP23"/>
  <c r="AT105"/>
  <c r="AT106"/>
  <c r="AT107"/>
  <c r="AT108"/>
  <c r="AQ105"/>
  <c r="AQ106"/>
  <c r="AQ107"/>
  <c r="AE9" i="4"/>
  <c r="AP105" i="12"/>
  <c r="AP106"/>
  <c r="AP107"/>
  <c r="Y79"/>
  <c r="Y88"/>
  <c r="Y42"/>
  <c r="X84"/>
  <c r="E33"/>
  <c r="F31"/>
  <c r="AS38"/>
  <c r="AS79"/>
  <c r="X38"/>
  <c r="AB5" i="22"/>
  <c r="X42" i="12"/>
  <c r="X79"/>
  <c r="AV61" i="22"/>
  <c r="AQ79" i="12"/>
  <c r="AQ38"/>
  <c r="AO38"/>
  <c r="AN38"/>
  <c r="AN79"/>
  <c r="Y38"/>
  <c r="AC5" i="22"/>
  <c r="X80" i="12"/>
  <c r="Y80"/>
  <c r="AN80"/>
  <c r="AO80"/>
  <c r="AP80"/>
  <c r="AQ80"/>
  <c r="AR80"/>
  <c r="AS80"/>
  <c r="AT23"/>
  <c r="X30"/>
  <c r="AW11"/>
  <c r="AU84"/>
  <c r="AS23"/>
  <c r="AS84"/>
  <c r="AQ23"/>
  <c r="AQ84"/>
  <c r="AP84"/>
  <c r="AN84"/>
  <c r="AF84"/>
  <c r="AE84"/>
  <c r="AD84"/>
  <c r="AC84"/>
  <c r="AB84"/>
  <c r="AA84"/>
  <c r="Z84"/>
  <c r="F23" i="23"/>
  <c r="F24"/>
  <c r="F12" i="37"/>
  <c r="AR20" i="12"/>
  <c r="AR23"/>
  <c r="AO20"/>
  <c r="AO23"/>
  <c r="AH9" i="4"/>
  <c r="AM105" i="12"/>
  <c r="AM106"/>
  <c r="AM107"/>
  <c r="AU105"/>
  <c r="AU106"/>
  <c r="AU107"/>
  <c r="AU108"/>
  <c r="AU20"/>
  <c r="AU23"/>
  <c r="AM20"/>
  <c r="AM23"/>
  <c r="BA116" i="16"/>
  <c r="BA117"/>
  <c r="AW105" i="12"/>
  <c r="AW106"/>
  <c r="AW107"/>
  <c r="AK9" i="4"/>
  <c r="AK10"/>
  <c r="AK7" i="36"/>
  <c r="AK6"/>
  <c r="AG9" i="4"/>
  <c r="AI9"/>
  <c r="R108" i="16"/>
  <c r="R103"/>
  <c r="AD74" i="12"/>
  <c r="AF72"/>
  <c r="AF110"/>
  <c r="AF112"/>
  <c r="AF104"/>
  <c r="O162"/>
  <c r="AN105"/>
  <c r="AN106"/>
  <c r="AN107"/>
  <c r="AN20"/>
  <c r="AO104"/>
  <c r="AB104"/>
  <c r="K162"/>
  <c r="Z74"/>
  <c r="AD110"/>
  <c r="AD112"/>
  <c r="X110"/>
  <c r="X112"/>
  <c r="V30"/>
  <c r="X104"/>
  <c r="G162"/>
  <c r="AB74"/>
  <c r="Z110"/>
  <c r="Z112"/>
  <c r="V110"/>
  <c r="V112"/>
  <c r="U104"/>
  <c r="U110"/>
  <c r="U112"/>
  <c r="W72"/>
  <c r="W110"/>
  <c r="W112"/>
  <c r="Y72"/>
  <c r="Y104"/>
  <c r="H162"/>
  <c r="Y110"/>
  <c r="Y112"/>
  <c r="AA72"/>
  <c r="AA110"/>
  <c r="AA112"/>
  <c r="AC72"/>
  <c r="AC110"/>
  <c r="AC112"/>
  <c r="AC104"/>
  <c r="L162"/>
  <c r="AE72"/>
  <c r="AE110"/>
  <c r="AE112"/>
  <c r="AL72"/>
  <c r="AL30"/>
  <c r="AL110"/>
  <c r="AL112"/>
  <c r="AL104"/>
  <c r="AN110"/>
  <c r="AN112"/>
  <c r="AN72"/>
  <c r="AN30"/>
  <c r="AP72"/>
  <c r="AP110"/>
  <c r="AP112"/>
  <c r="AP104"/>
  <c r="AR72"/>
  <c r="AR30"/>
  <c r="AR110"/>
  <c r="AR112"/>
  <c r="AT72"/>
  <c r="AT110"/>
  <c r="AT112"/>
  <c r="AT104"/>
  <c r="AV72"/>
  <c r="AV110"/>
  <c r="AV112"/>
  <c r="N110"/>
  <c r="N112"/>
  <c r="N104"/>
  <c r="AM72"/>
  <c r="AM30"/>
  <c r="AM110"/>
  <c r="AM112"/>
  <c r="AM104"/>
  <c r="AV104"/>
  <c r="AN104"/>
  <c r="AE104"/>
  <c r="N162"/>
  <c r="W104"/>
  <c r="F162"/>
  <c r="AR104"/>
  <c r="AA104"/>
  <c r="J162"/>
  <c r="X74"/>
  <c r="AL9" i="4"/>
  <c r="AL10"/>
  <c r="AK110" i="12"/>
  <c r="AK112"/>
  <c r="AQ72"/>
  <c r="AQ30"/>
  <c r="AQ110"/>
  <c r="AQ112"/>
  <c r="AS72"/>
  <c r="AS30"/>
  <c r="AS110"/>
  <c r="AS112"/>
  <c r="AU110"/>
  <c r="AU112"/>
  <c r="O110"/>
  <c r="O104"/>
  <c r="AJ9" i="4"/>
  <c r="AJ10"/>
  <c r="AS105" i="12"/>
  <c r="AS106"/>
  <c r="AS107"/>
  <c r="AU104"/>
  <c r="AQ104"/>
  <c r="AK104"/>
  <c r="AD104"/>
  <c r="M162"/>
  <c r="Z104"/>
  <c r="I162"/>
  <c r="V104"/>
  <c r="E162"/>
  <c r="AL105"/>
  <c r="AL106"/>
  <c r="AL107"/>
  <c r="AB110"/>
  <c r="AB112"/>
  <c r="AO72"/>
  <c r="X88"/>
  <c r="AQ88"/>
  <c r="AX11"/>
  <c r="AW10"/>
  <c r="AX10"/>
  <c r="AN88"/>
  <c r="AL41"/>
  <c r="AL42"/>
  <c r="AV41"/>
  <c r="AV42"/>
  <c r="AW38"/>
  <c r="F33"/>
  <c r="AS88"/>
  <c r="AU103"/>
  <c r="R120" i="16"/>
  <c r="O20" i="12"/>
  <c r="O23"/>
  <c r="O105"/>
  <c r="O106"/>
  <c r="O107"/>
  <c r="P84"/>
  <c r="P83"/>
  <c r="AN23"/>
  <c r="AW20"/>
  <c r="AF74"/>
  <c r="AT103"/>
  <c r="AC74"/>
  <c r="AA74"/>
  <c r="AG69"/>
  <c r="AG68"/>
  <c r="AU72"/>
  <c r="AW69"/>
  <c r="AW68"/>
  <c r="AV103"/>
  <c r="AE74"/>
  <c r="Y30"/>
  <c r="Y74"/>
  <c r="W30"/>
  <c r="W74"/>
  <c r="AK41"/>
  <c r="AK42"/>
  <c r="AN41"/>
  <c r="AN42"/>
  <c r="AP41"/>
  <c r="AP42"/>
  <c r="AS41"/>
  <c r="AS42"/>
  <c r="AM41"/>
  <c r="AM42"/>
  <c r="AU41"/>
  <c r="AU42"/>
  <c r="AQ41"/>
  <c r="AQ42"/>
  <c r="AW61" i="22"/>
  <c r="AN89" i="12"/>
  <c r="AR61" i="22"/>
  <c r="AW41" i="12"/>
  <c r="AU61" i="22"/>
  <c r="AB61"/>
  <c r="M36" i="30"/>
  <c r="M11" i="29"/>
  <c r="N11"/>
  <c r="M103" i="12"/>
  <c r="K36" i="30"/>
  <c r="N103" i="12"/>
  <c r="L36" i="30"/>
  <c r="AK72" i="12"/>
  <c r="AW70"/>
  <c r="U72"/>
  <c r="AG70"/>
  <c r="L6" i="30"/>
  <c r="N72" i="12"/>
  <c r="L5" i="34"/>
  <c r="M67" i="30"/>
  <c r="AR91" i="22"/>
  <c r="M27" i="12"/>
  <c r="M28"/>
  <c r="M32"/>
  <c r="K67" i="30"/>
  <c r="P25" i="12"/>
  <c r="L67" i="30"/>
  <c r="N28" i="12"/>
  <c r="N27"/>
  <c r="O27"/>
  <c r="AG72"/>
  <c r="I13" i="23"/>
  <c r="K13"/>
  <c r="U74" i="12"/>
  <c r="N30"/>
  <c r="N74"/>
  <c r="AW72"/>
  <c r="M13" i="23"/>
  <c r="O13"/>
  <c r="AK30" i="12"/>
  <c r="K7" i="36"/>
  <c r="K6"/>
  <c r="N67" i="30"/>
  <c r="E11" i="23"/>
  <c r="AK31" i="12"/>
  <c r="N32"/>
  <c r="H39" i="23"/>
  <c r="H38"/>
  <c r="H37"/>
  <c r="AL31" i="12"/>
  <c r="H40" i="23"/>
  <c r="AM31" i="12"/>
  <c r="AN31"/>
  <c r="V20"/>
  <c r="V15"/>
  <c r="X20"/>
  <c r="X15"/>
  <c r="X23"/>
  <c r="AD20"/>
  <c r="AD15"/>
  <c r="AF20"/>
  <c r="AF15"/>
  <c r="Z20"/>
  <c r="Z15"/>
  <c r="Z23"/>
  <c r="AJ45" i="16"/>
  <c r="T9" i="4"/>
  <c r="AD23" i="12"/>
  <c r="X105"/>
  <c r="X106"/>
  <c r="X107"/>
  <c r="X108"/>
  <c r="W20"/>
  <c r="W15"/>
  <c r="Q7" i="36"/>
  <c r="Q6"/>
  <c r="W105" i="12"/>
  <c r="W106"/>
  <c r="W107"/>
  <c r="W108"/>
  <c r="V105"/>
  <c r="V106"/>
  <c r="V107"/>
  <c r="V108"/>
  <c r="Z105"/>
  <c r="Z106"/>
  <c r="Z107"/>
  <c r="AF105"/>
  <c r="AF106"/>
  <c r="AF107"/>
  <c r="AF108"/>
  <c r="AE105"/>
  <c r="AE106"/>
  <c r="AE107"/>
  <c r="AE108"/>
  <c r="AE20"/>
  <c r="AE15"/>
  <c r="AD105"/>
  <c r="AD106"/>
  <c r="AD107"/>
  <c r="AD108"/>
  <c r="AE23"/>
  <c r="AF103"/>
  <c r="U20"/>
  <c r="U15"/>
  <c r="U105"/>
  <c r="U106"/>
  <c r="U107"/>
  <c r="U108"/>
  <c r="W23"/>
  <c r="AD103"/>
  <c r="AE103"/>
  <c r="V103"/>
  <c r="W103"/>
  <c r="X103"/>
  <c r="X36"/>
  <c r="X54"/>
  <c r="X113"/>
  <c r="W32"/>
  <c r="W28"/>
  <c r="V54"/>
  <c r="V36"/>
  <c r="V113"/>
  <c r="AE28"/>
  <c r="AD54"/>
  <c r="AD36"/>
  <c r="AD113"/>
  <c r="U23"/>
  <c r="AF54"/>
  <c r="AF36"/>
  <c r="AF113"/>
  <c r="X28"/>
  <c r="X32"/>
  <c r="W54"/>
  <c r="W36"/>
  <c r="W113"/>
  <c r="V28"/>
  <c r="V32"/>
  <c r="AE36"/>
  <c r="AE54"/>
  <c r="AE113"/>
  <c r="AD28"/>
  <c r="O7" i="36"/>
  <c r="O6"/>
  <c r="U103" i="12"/>
  <c r="AF28"/>
  <c r="U27"/>
  <c r="U28"/>
  <c r="AE58"/>
  <c r="AE61"/>
  <c r="AI59" i="22"/>
  <c r="AI4"/>
  <c r="AE51" i="12"/>
  <c r="AE52"/>
  <c r="W51"/>
  <c r="W52"/>
  <c r="W39"/>
  <c r="AA6" i="22"/>
  <c r="AA4"/>
  <c r="AF115" i="12"/>
  <c r="AF114"/>
  <c r="AF51"/>
  <c r="AF52"/>
  <c r="AJ4" i="22"/>
  <c r="AD51" i="12"/>
  <c r="AD52"/>
  <c r="AH4" i="22"/>
  <c r="V51" i="12"/>
  <c r="V52"/>
  <c r="Z4" i="22"/>
  <c r="V39" i="12"/>
  <c r="Z6" i="22"/>
  <c r="X58" i="12"/>
  <c r="X90"/>
  <c r="AB59" i="22"/>
  <c r="X61" i="12"/>
  <c r="X51"/>
  <c r="X52"/>
  <c r="X39"/>
  <c r="AB6" i="22"/>
  <c r="AB4"/>
  <c r="U36" i="12"/>
  <c r="U54"/>
  <c r="U113"/>
  <c r="AE115"/>
  <c r="AE114"/>
  <c r="W115"/>
  <c r="W114"/>
  <c r="W58"/>
  <c r="W90"/>
  <c r="W61"/>
  <c r="AA59" i="22"/>
  <c r="AF58" i="12"/>
  <c r="AF61"/>
  <c r="AJ59" i="22"/>
  <c r="AD115" i="12"/>
  <c r="AD114"/>
  <c r="AD58"/>
  <c r="AD61"/>
  <c r="AH59" i="22"/>
  <c r="V115" i="12"/>
  <c r="V114"/>
  <c r="V58"/>
  <c r="V90"/>
  <c r="V61"/>
  <c r="Z59" i="22"/>
  <c r="X115" i="12"/>
  <c r="X114"/>
  <c r="X86"/>
  <c r="X48"/>
  <c r="X81"/>
  <c r="AB112" i="22"/>
  <c r="G136" i="12"/>
  <c r="G163"/>
  <c r="AF117"/>
  <c r="AF116"/>
  <c r="V27"/>
  <c r="X116"/>
  <c r="X117"/>
  <c r="Z112" i="22"/>
  <c r="E136" i="12"/>
  <c r="E163"/>
  <c r="V116"/>
  <c r="V117"/>
  <c r="AD117"/>
  <c r="AD116"/>
  <c r="AA112" i="22"/>
  <c r="F136" i="12"/>
  <c r="F163"/>
  <c r="W117"/>
  <c r="W116"/>
  <c r="AE116"/>
  <c r="AE117"/>
  <c r="U115"/>
  <c r="U114"/>
  <c r="U58"/>
  <c r="U55"/>
  <c r="U61"/>
  <c r="Y59" i="22"/>
  <c r="U51" i="12"/>
  <c r="U52"/>
  <c r="Y4" i="22"/>
  <c r="U39" i="12"/>
  <c r="Y6" i="22"/>
  <c r="AD86" i="12"/>
  <c r="AD48"/>
  <c r="W86"/>
  <c r="W48"/>
  <c r="W81"/>
  <c r="AE86"/>
  <c r="AE48"/>
  <c r="U86"/>
  <c r="U53"/>
  <c r="V53"/>
  <c r="W53"/>
  <c r="X53"/>
  <c r="U48"/>
  <c r="U62"/>
  <c r="V62"/>
  <c r="W62"/>
  <c r="X62"/>
  <c r="U59"/>
  <c r="Y90" i="22"/>
  <c r="V55" i="12"/>
  <c r="U117"/>
  <c r="U116"/>
  <c r="W27"/>
  <c r="Z90" i="22"/>
  <c r="V59" i="12"/>
  <c r="W55"/>
  <c r="U87"/>
  <c r="X27"/>
  <c r="U81"/>
  <c r="U82"/>
  <c r="U49"/>
  <c r="W59"/>
  <c r="AA90" i="22"/>
  <c r="X55" i="12"/>
  <c r="AB90" i="22"/>
  <c r="X59" i="12"/>
  <c r="G27" i="14"/>
  <c r="H27"/>
  <c r="F69"/>
  <c r="G69"/>
  <c r="H69"/>
  <c r="F53"/>
  <c r="G53"/>
  <c r="G40"/>
  <c r="H40"/>
  <c r="G49"/>
  <c r="H49"/>
  <c r="I49"/>
  <c r="F189"/>
  <c r="F193"/>
  <c r="N68"/>
  <c r="O68"/>
  <c r="P68"/>
  <c r="N241" i="38"/>
  <c r="G121" i="14"/>
  <c r="G117"/>
  <c r="F153"/>
  <c r="F149"/>
  <c r="E53"/>
  <c r="K182"/>
  <c r="K184"/>
  <c r="H141"/>
  <c r="O41"/>
  <c r="P41"/>
  <c r="G141"/>
  <c r="H145"/>
  <c r="G145"/>
  <c r="F145"/>
  <c r="O4"/>
  <c r="O5"/>
  <c r="N5"/>
  <c r="M5"/>
  <c r="L5"/>
  <c r="K5"/>
  <c r="J5"/>
  <c r="I5"/>
  <c r="H5"/>
  <c r="G5"/>
  <c r="F5"/>
  <c r="P4"/>
  <c r="G6"/>
  <c r="H6"/>
  <c r="I6"/>
  <c r="H8"/>
  <c r="G8"/>
  <c r="H9"/>
  <c r="G9"/>
  <c r="F9"/>
  <c r="AU8"/>
  <c r="I23"/>
  <c r="J23"/>
  <c r="K23"/>
  <c r="L23"/>
  <c r="M23"/>
  <c r="N23"/>
  <c r="O23"/>
  <c r="G33"/>
  <c r="H102"/>
  <c r="I102"/>
  <c r="J102"/>
  <c r="K102"/>
  <c r="L102"/>
  <c r="M102"/>
  <c r="H88"/>
  <c r="I88"/>
  <c r="J88"/>
  <c r="K88"/>
  <c r="L88"/>
  <c r="M88"/>
  <c r="H96"/>
  <c r="I96"/>
  <c r="J96"/>
  <c r="K96"/>
  <c r="L96"/>
  <c r="M96"/>
  <c r="H76"/>
  <c r="I76"/>
  <c r="J76"/>
  <c r="K76"/>
  <c r="L76"/>
  <c r="M76"/>
  <c r="F63"/>
  <c r="G63"/>
  <c r="H63"/>
  <c r="I63"/>
  <c r="J63"/>
  <c r="K63"/>
  <c r="L63"/>
  <c r="M63"/>
  <c r="N63"/>
  <c r="O63"/>
  <c r="G92"/>
  <c r="H92"/>
  <c r="I92"/>
  <c r="J92"/>
  <c r="K92"/>
  <c r="L92"/>
  <c r="M92"/>
  <c r="F92"/>
  <c r="H80"/>
  <c r="I80"/>
  <c r="J80"/>
  <c r="K80"/>
  <c r="L80"/>
  <c r="M80"/>
  <c r="F67"/>
  <c r="G67"/>
  <c r="H67"/>
  <c r="I67"/>
  <c r="J67"/>
  <c r="K67"/>
  <c r="L67"/>
  <c r="M67"/>
  <c r="N67"/>
  <c r="O67"/>
  <c r="H84"/>
  <c r="I84"/>
  <c r="J84"/>
  <c r="K84"/>
  <c r="L84"/>
  <c r="M84"/>
  <c r="F57"/>
  <c r="G57"/>
  <c r="H57"/>
  <c r="I57"/>
  <c r="J57"/>
  <c r="K57"/>
  <c r="L57"/>
  <c r="M57"/>
  <c r="N57"/>
  <c r="O57"/>
  <c r="E67"/>
  <c r="G189"/>
  <c r="G193"/>
  <c r="H106"/>
  <c r="I106"/>
  <c r="J106"/>
  <c r="K106"/>
  <c r="L106"/>
  <c r="M106"/>
  <c r="E57"/>
  <c r="H110"/>
  <c r="I110"/>
  <c r="J110"/>
  <c r="K110"/>
  <c r="L110"/>
  <c r="M109"/>
  <c r="M190"/>
  <c r="M182"/>
  <c r="M183"/>
  <c r="L182"/>
  <c r="L183"/>
  <c r="K183"/>
  <c r="J183"/>
  <c r="I183"/>
  <c r="H183"/>
  <c r="G183"/>
  <c r="F183"/>
  <c r="E183"/>
  <c r="D183"/>
  <c r="L191"/>
  <c r="K191"/>
  <c r="J191"/>
  <c r="I191"/>
  <c r="H191"/>
  <c r="G191"/>
  <c r="F191"/>
  <c r="F132"/>
  <c r="G132"/>
  <c r="H132"/>
  <c r="G133"/>
  <c r="H136"/>
  <c r="I136"/>
  <c r="J136"/>
  <c r="I137"/>
  <c r="H241" i="38"/>
  <c r="G241"/>
  <c r="F241"/>
  <c r="F133" i="14"/>
  <c r="H137"/>
  <c r="M192"/>
  <c r="M191"/>
  <c r="M110"/>
  <c r="K136"/>
  <c r="J137"/>
  <c r="J6"/>
  <c r="I8"/>
  <c r="I9"/>
  <c r="H53"/>
  <c r="G149"/>
  <c r="G153"/>
  <c r="I132"/>
  <c r="H133"/>
  <c r="L184"/>
  <c r="K185"/>
  <c r="I141"/>
  <c r="J49"/>
  <c r="I145"/>
  <c r="H121"/>
  <c r="I40"/>
  <c r="H117"/>
  <c r="I69"/>
  <c r="H189"/>
  <c r="H193"/>
  <c r="I27"/>
  <c r="H33"/>
  <c r="I189"/>
  <c r="J69"/>
  <c r="I193"/>
  <c r="I121"/>
  <c r="I117"/>
  <c r="J40"/>
  <c r="M184"/>
  <c r="M185"/>
  <c r="L185"/>
  <c r="J132"/>
  <c r="I133"/>
  <c r="H153"/>
  <c r="I53"/>
  <c r="H149"/>
  <c r="J8"/>
  <c r="J9"/>
  <c r="K6"/>
  <c r="K137"/>
  <c r="L136"/>
  <c r="J27"/>
  <c r="I33"/>
  <c r="K49"/>
  <c r="J145"/>
  <c r="J141"/>
  <c r="L137"/>
  <c r="M136"/>
  <c r="M137"/>
  <c r="L6"/>
  <c r="K8"/>
  <c r="K9"/>
  <c r="J133"/>
  <c r="K132"/>
  <c r="K145"/>
  <c r="L49"/>
  <c r="K141"/>
  <c r="K27"/>
  <c r="J33"/>
  <c r="J53"/>
  <c r="I153"/>
  <c r="I149"/>
  <c r="K40"/>
  <c r="J121"/>
  <c r="J117"/>
  <c r="K69"/>
  <c r="J189"/>
  <c r="J193"/>
  <c r="J149"/>
  <c r="K53"/>
  <c r="J153"/>
  <c r="L27"/>
  <c r="K33"/>
  <c r="K133"/>
  <c r="L132"/>
  <c r="K117"/>
  <c r="L40"/>
  <c r="K121"/>
  <c r="M6"/>
  <c r="L8"/>
  <c r="L9"/>
  <c r="K189"/>
  <c r="L69"/>
  <c r="K193"/>
  <c r="L141"/>
  <c r="L145"/>
  <c r="M49"/>
  <c r="N6"/>
  <c r="M8"/>
  <c r="M9"/>
  <c r="M40"/>
  <c r="L117"/>
  <c r="L121"/>
  <c r="M132"/>
  <c r="M133"/>
  <c r="L133"/>
  <c r="N49"/>
  <c r="O49"/>
  <c r="M145"/>
  <c r="M141"/>
  <c r="M69"/>
  <c r="L189"/>
  <c r="L193"/>
  <c r="M27"/>
  <c r="L33"/>
  <c r="L53"/>
  <c r="K149"/>
  <c r="K153"/>
  <c r="M33"/>
  <c r="N27"/>
  <c r="M189"/>
  <c r="N69"/>
  <c r="O69"/>
  <c r="M193"/>
  <c r="M117"/>
  <c r="N40"/>
  <c r="O40"/>
  <c r="M121"/>
  <c r="N8"/>
  <c r="N9"/>
  <c r="O6"/>
  <c r="O8"/>
  <c r="O9"/>
  <c r="L153"/>
  <c r="M53"/>
  <c r="L149"/>
  <c r="M149"/>
  <c r="M153"/>
  <c r="N53"/>
  <c r="O53"/>
  <c r="O27"/>
  <c r="O33"/>
  <c r="N33"/>
  <c r="AJ85" i="16"/>
  <c r="AJ106"/>
  <c r="AK85"/>
  <c r="AJ93"/>
  <c r="AI93"/>
  <c r="AH93"/>
  <c r="AG93"/>
  <c r="AF93"/>
  <c r="AE93"/>
  <c r="AD93"/>
  <c r="AC93"/>
  <c r="AB93"/>
  <c r="AA93"/>
  <c r="Z93"/>
  <c r="Y93"/>
  <c r="X93"/>
  <c r="AJ94"/>
  <c r="K111" i="3"/>
  <c r="J111"/>
  <c r="I111"/>
  <c r="H111"/>
  <c r="G111"/>
  <c r="F111"/>
  <c r="O111"/>
  <c r="G64"/>
  <c r="J64"/>
  <c r="I64"/>
  <c r="H64"/>
  <c r="F64"/>
  <c r="K62"/>
  <c r="K63"/>
  <c r="K64"/>
  <c r="O64"/>
  <c r="J63"/>
  <c r="I63"/>
  <c r="H63"/>
  <c r="G63"/>
  <c r="F63"/>
  <c r="O62"/>
  <c r="O63"/>
  <c r="J62"/>
  <c r="I62"/>
  <c r="H62"/>
  <c r="G62"/>
  <c r="F62"/>
  <c r="AJ91" i="16"/>
  <c r="AK91"/>
  <c r="AJ89"/>
  <c r="AK89"/>
  <c r="L90" i="14"/>
  <c r="M90"/>
  <c r="K90"/>
  <c r="J90"/>
  <c r="I90"/>
  <c r="H90"/>
  <c r="G90"/>
  <c r="F90"/>
  <c r="L74"/>
  <c r="M74"/>
  <c r="K74"/>
  <c r="J74"/>
  <c r="I74"/>
  <c r="H74"/>
  <c r="G74"/>
  <c r="F74"/>
  <c r="E74"/>
  <c r="L108"/>
  <c r="M108"/>
  <c r="K108"/>
  <c r="J108"/>
  <c r="I108"/>
  <c r="H108"/>
  <c r="G108"/>
  <c r="F108"/>
  <c r="E108"/>
  <c r="L78"/>
  <c r="M78"/>
  <c r="K78"/>
  <c r="J78"/>
  <c r="I78"/>
  <c r="H78"/>
  <c r="G78"/>
  <c r="F78"/>
  <c r="E78"/>
  <c r="L82"/>
  <c r="M82"/>
  <c r="K82"/>
  <c r="J82"/>
  <c r="I82"/>
  <c r="H82"/>
  <c r="G82"/>
  <c r="F82"/>
  <c r="E82"/>
  <c r="L86"/>
  <c r="M86"/>
  <c r="K86"/>
  <c r="J86"/>
  <c r="I86"/>
  <c r="H86"/>
  <c r="G86"/>
  <c r="F86"/>
  <c r="E86"/>
  <c r="L94"/>
  <c r="M94"/>
  <c r="K94"/>
  <c r="J94"/>
  <c r="I94"/>
  <c r="H94"/>
  <c r="G94"/>
  <c r="F94"/>
  <c r="E94"/>
  <c r="L104"/>
  <c r="M104"/>
  <c r="K104"/>
  <c r="J104"/>
  <c r="I104"/>
  <c r="H104"/>
  <c r="G104"/>
  <c r="F104"/>
  <c r="L156"/>
  <c r="M156"/>
  <c r="L157"/>
  <c r="M157"/>
  <c r="L98"/>
  <c r="M98"/>
  <c r="N98"/>
  <c r="O98"/>
  <c r="K98"/>
  <c r="J98"/>
  <c r="I98"/>
  <c r="H98"/>
  <c r="G98"/>
  <c r="F98"/>
  <c r="E98"/>
  <c r="L100"/>
  <c r="M100"/>
  <c r="K100"/>
  <c r="J100"/>
  <c r="I100"/>
  <c r="H100"/>
  <c r="G100"/>
  <c r="F100"/>
  <c r="E100"/>
  <c r="L29"/>
  <c r="M29"/>
  <c r="N29"/>
  <c r="K29"/>
  <c r="J29"/>
  <c r="I29"/>
  <c r="H29"/>
  <c r="G29"/>
  <c r="F29"/>
  <c r="E29"/>
  <c r="Q26" i="2"/>
  <c r="R26"/>
  <c r="Q48"/>
  <c r="Q49"/>
  <c r="BB48"/>
  <c r="BA48"/>
  <c r="Q52"/>
  <c r="Q50"/>
  <c r="Q51"/>
  <c r="R48"/>
  <c r="R49"/>
  <c r="R51"/>
  <c r="Q94"/>
  <c r="R94"/>
  <c r="O90"/>
  <c r="Q90"/>
  <c r="R90"/>
  <c r="O92"/>
  <c r="Q92"/>
  <c r="R92"/>
  <c r="R50"/>
  <c r="R52"/>
  <c r="O36"/>
  <c r="Q36"/>
  <c r="R36"/>
  <c r="Q46"/>
  <c r="R46"/>
  <c r="J105"/>
  <c r="J107"/>
  <c r="K105"/>
  <c r="K107"/>
  <c r="I107"/>
  <c r="N105"/>
  <c r="O105"/>
  <c r="Q105"/>
  <c r="R105"/>
  <c r="I105"/>
  <c r="N107"/>
  <c r="O107"/>
  <c r="Q107"/>
  <c r="R107"/>
  <c r="J37" i="30"/>
  <c r="P22" i="12"/>
  <c r="K37" i="30"/>
  <c r="O134" i="3"/>
  <c r="L38" i="12"/>
  <c r="J5" i="22"/>
  <c r="J34"/>
  <c r="J63"/>
  <c r="P63"/>
  <c r="J5" i="30"/>
  <c r="L103" i="12"/>
  <c r="P21"/>
  <c r="Q21"/>
  <c r="Q25"/>
  <c r="J36" i="30"/>
  <c r="K34" i="22"/>
  <c r="K63"/>
  <c r="O63"/>
  <c r="M38" i="12"/>
  <c r="K5" i="30"/>
  <c r="N37"/>
  <c r="D6" i="40"/>
  <c r="Q22" i="12"/>
  <c r="N36" i="30"/>
  <c r="K5" i="22"/>
  <c r="Q35" i="12"/>
  <c r="N5" i="30"/>
  <c r="P41" i="12"/>
  <c r="N7" i="22"/>
  <c r="O41" i="12"/>
  <c r="N34" i="22"/>
  <c r="N63"/>
  <c r="O42" i="12"/>
  <c r="M64" i="22"/>
  <c r="M65"/>
  <c r="M7"/>
  <c r="H14" i="37"/>
  <c r="Y149" i="16"/>
  <c r="V48" i="12"/>
  <c r="V86"/>
  <c r="AF86"/>
  <c r="AF48"/>
  <c r="V87"/>
  <c r="W87"/>
  <c r="X87"/>
  <c r="AU79"/>
  <c r="AU38"/>
  <c r="AT38"/>
  <c r="AT79"/>
  <c r="AF38"/>
  <c r="AF79"/>
  <c r="AF42"/>
  <c r="AD38"/>
  <c r="AD79"/>
  <c r="AD42"/>
  <c r="AB38"/>
  <c r="AF5" i="22"/>
  <c r="AB79" i="12"/>
  <c r="AB42"/>
  <c r="Z38"/>
  <c r="AD5" i="22"/>
  <c r="Z79" i="12"/>
  <c r="Z42"/>
  <c r="O103" i="16"/>
  <c r="O115"/>
  <c r="O116"/>
  <c r="O117"/>
  <c r="O108"/>
  <c r="E35" i="37"/>
  <c r="J18" i="23"/>
  <c r="G27" i="37"/>
  <c r="H27"/>
  <c r="H35"/>
  <c r="V23" i="12"/>
  <c r="AF23"/>
  <c r="AW112"/>
  <c r="AT80"/>
  <c r="AU80"/>
  <c r="AW104"/>
  <c r="AW110"/>
  <c r="AG104"/>
  <c r="AG110"/>
  <c r="AC61" i="22"/>
  <c r="AV79" i="12"/>
  <c r="AV38"/>
  <c r="AP88"/>
  <c r="AP30"/>
  <c r="AW79"/>
  <c r="AW77"/>
  <c r="O27" i="23"/>
  <c r="AO88" i="12"/>
  <c r="AO30"/>
  <c r="AE38"/>
  <c r="AE42"/>
  <c r="AE79"/>
  <c r="AC38"/>
  <c r="AG5" i="22"/>
  <c r="AC42" i="12"/>
  <c r="AC79"/>
  <c r="AA38"/>
  <c r="AE5" i="22"/>
  <c r="AA42" i="12"/>
  <c r="AA79"/>
  <c r="P115" i="16"/>
  <c r="P116"/>
  <c r="P117"/>
  <c r="P108"/>
  <c r="P103"/>
  <c r="G18" i="23"/>
  <c r="E17"/>
  <c r="G17"/>
  <c r="I17"/>
  <c r="K18"/>
  <c r="U85" i="12"/>
  <c r="V85"/>
  <c r="W85"/>
  <c r="X85"/>
  <c r="Y85"/>
  <c r="Z85"/>
  <c r="AA85"/>
  <c r="AB85"/>
  <c r="AC85"/>
  <c r="AD85"/>
  <c r="AE85"/>
  <c r="AF85"/>
  <c r="U88"/>
  <c r="AG84"/>
  <c r="AG83"/>
  <c r="U30"/>
  <c r="AG112"/>
  <c r="Z80"/>
  <c r="AA80"/>
  <c r="AB80"/>
  <c r="AC80"/>
  <c r="AD80"/>
  <c r="AE80"/>
  <c r="AF80"/>
  <c r="AW23"/>
  <c r="E357" i="38"/>
  <c r="E282"/>
  <c r="E283"/>
  <c r="C359"/>
  <c r="C363"/>
  <c r="N280"/>
  <c r="C284"/>
  <c r="E359"/>
  <c r="E363"/>
  <c r="E284"/>
  <c r="E286"/>
  <c r="N281"/>
  <c r="F360"/>
  <c r="AX22" i="16"/>
  <c r="BA22"/>
  <c r="AX25"/>
  <c r="BA15"/>
  <c r="K21" i="36"/>
  <c r="K22"/>
  <c r="K24" i="35"/>
  <c r="K39" i="16"/>
  <c r="K93"/>
  <c r="I39"/>
  <c r="I93"/>
  <c r="M39"/>
  <c r="M93"/>
  <c r="F50" i="37"/>
  <c r="F54"/>
  <c r="E54"/>
  <c r="AB107" i="16"/>
  <c r="AB29"/>
  <c r="AB40"/>
  <c r="AJ39"/>
  <c r="AJ40"/>
  <c r="AE107"/>
  <c r="AE29"/>
  <c r="AE40"/>
  <c r="H8" i="37"/>
  <c r="H16"/>
  <c r="H54"/>
  <c r="F355" i="38"/>
  <c r="F282"/>
  <c r="N276"/>
  <c r="F283"/>
  <c r="F285"/>
  <c r="G356"/>
  <c r="G362"/>
  <c r="G282"/>
  <c r="G286"/>
  <c r="G283"/>
  <c r="H356"/>
  <c r="H282"/>
  <c r="H283"/>
  <c r="H285"/>
  <c r="D357"/>
  <c r="D283"/>
  <c r="N278"/>
  <c r="D282"/>
  <c r="C283"/>
  <c r="C282"/>
  <c r="N282"/>
  <c r="O277"/>
  <c r="C358"/>
  <c r="N279"/>
  <c r="O279"/>
  <c r="D284"/>
  <c r="D359"/>
  <c r="D363"/>
  <c r="F359"/>
  <c r="F363"/>
  <c r="F284"/>
  <c r="F286"/>
  <c r="H360"/>
  <c r="H363"/>
  <c r="H284"/>
  <c r="H286"/>
  <c r="I362"/>
  <c r="I361"/>
  <c r="K361"/>
  <c r="K362"/>
  <c r="J362"/>
  <c r="J361"/>
  <c r="M362"/>
  <c r="M361"/>
  <c r="S93" i="16"/>
  <c r="G93"/>
  <c r="G39"/>
  <c r="L39"/>
  <c r="L93"/>
  <c r="J39"/>
  <c r="J93"/>
  <c r="H39"/>
  <c r="H93"/>
  <c r="N39"/>
  <c r="N93"/>
  <c r="AF40"/>
  <c r="AF107"/>
  <c r="AF29"/>
  <c r="AD29"/>
  <c r="AD107"/>
  <c r="AD40"/>
  <c r="AT41" i="12"/>
  <c r="AT42"/>
  <c r="AO41"/>
  <c r="AO42"/>
  <c r="AW42"/>
  <c r="AR41"/>
  <c r="AR42"/>
  <c r="O141" i="3"/>
  <c r="AV84" i="12"/>
  <c r="AT84"/>
  <c r="AT85"/>
  <c r="AU85"/>
  <c r="AV85"/>
  <c r="F26" i="37"/>
  <c r="F27"/>
  <c r="F35"/>
  <c r="M363" i="38"/>
  <c r="AG37" i="12"/>
  <c r="AV35"/>
  <c r="AV25"/>
  <c r="AV28"/>
  <c r="AU35"/>
  <c r="AU25"/>
  <c r="AU28"/>
  <c r="AN21"/>
  <c r="AD9" i="4"/>
  <c r="AD10"/>
  <c r="AL21" i="12"/>
  <c r="AB9" i="4"/>
  <c r="AB10"/>
  <c r="E41" i="12"/>
  <c r="G41"/>
  <c r="I41"/>
  <c r="K41"/>
  <c r="M41"/>
  <c r="N41"/>
  <c r="D41"/>
  <c r="F41"/>
  <c r="H41"/>
  <c r="J41"/>
  <c r="L41"/>
  <c r="N38" i="10"/>
  <c r="B39"/>
  <c r="M17" i="36"/>
  <c r="M16"/>
  <c r="N18" i="35"/>
  <c r="M26"/>
  <c r="L35" i="12"/>
  <c r="J13" i="29"/>
  <c r="J19"/>
  <c r="J35" i="12"/>
  <c r="H13" i="29"/>
  <c r="H19"/>
  <c r="H35" i="12"/>
  <c r="F13" i="29"/>
  <c r="F19"/>
  <c r="E35" i="12"/>
  <c r="C13" i="29"/>
  <c r="C19"/>
  <c r="O122" i="38"/>
  <c r="AA8" i="35"/>
  <c r="AA7"/>
  <c r="Y8"/>
  <c r="Q39" i="16"/>
  <c r="P8" i="35"/>
  <c r="M45" i="12"/>
  <c r="I45"/>
  <c r="F45"/>
  <c r="E45"/>
  <c r="K21" i="29"/>
  <c r="K27"/>
  <c r="D21"/>
  <c r="D27"/>
  <c r="AT35" i="12"/>
  <c r="AT25"/>
  <c r="AT28"/>
  <c r="AC9" i="4"/>
  <c r="AC10"/>
  <c r="AC7" i="36"/>
  <c r="AC6"/>
  <c r="AM21" i="12"/>
  <c r="AA9" i="4"/>
  <c r="AA10"/>
  <c r="AA7" i="36"/>
  <c r="AA6"/>
  <c r="AK21" i="12"/>
  <c r="B13" i="29"/>
  <c r="B19"/>
  <c r="D35" i="12"/>
  <c r="N35"/>
  <c r="L13" i="29"/>
  <c r="L19"/>
  <c r="K13"/>
  <c r="K19"/>
  <c r="M35" i="12"/>
  <c r="D13" i="29"/>
  <c r="D19"/>
  <c r="F35" i="12"/>
  <c r="I283" i="38"/>
  <c r="I285"/>
  <c r="K283"/>
  <c r="K285"/>
  <c r="AJ7" i="6"/>
  <c r="AJ8"/>
  <c r="AJ8" i="35"/>
  <c r="AL8" i="5"/>
  <c r="AL8" i="35"/>
  <c r="AL7"/>
  <c r="O142" i="3"/>
  <c r="AD8" i="35"/>
  <c r="AD7"/>
  <c r="AB8"/>
  <c r="AB7"/>
  <c r="Z8"/>
  <c r="X8"/>
  <c r="R8"/>
  <c r="L45" i="12"/>
  <c r="K45"/>
  <c r="H45"/>
  <c r="G45"/>
  <c r="D45"/>
  <c r="D46"/>
  <c r="E46"/>
  <c r="F46"/>
  <c r="C39" i="10"/>
  <c r="D39"/>
  <c r="E39"/>
  <c r="F39"/>
  <c r="G39"/>
  <c r="H39"/>
  <c r="I39"/>
  <c r="J39"/>
  <c r="K39"/>
  <c r="L39"/>
  <c r="M39"/>
  <c r="K70" i="12"/>
  <c r="I70"/>
  <c r="G70"/>
  <c r="N9" i="29"/>
  <c r="J21"/>
  <c r="J27"/>
  <c r="F21"/>
  <c r="F27"/>
  <c r="C21"/>
  <c r="C27"/>
  <c r="B21"/>
  <c r="M31" i="35"/>
  <c r="F135" i="3"/>
  <c r="F139"/>
  <c r="F140"/>
  <c r="N31" i="35"/>
  <c r="M23" i="36"/>
  <c r="N7" i="28"/>
  <c r="N8"/>
  <c r="M7" i="6"/>
  <c r="M8"/>
  <c r="O106" i="14"/>
  <c r="O104"/>
  <c r="O182"/>
  <c r="O178"/>
  <c r="O174"/>
  <c r="O13" i="12"/>
  <c r="O80" i="14"/>
  <c r="O90"/>
  <c r="O146"/>
  <c r="O126"/>
  <c r="O91"/>
  <c r="O107"/>
  <c r="O12" i="12"/>
  <c r="O144" i="3"/>
  <c r="N7" i="6"/>
  <c r="N8"/>
  <c r="L7" i="28"/>
  <c r="L8"/>
  <c r="C7"/>
  <c r="C8"/>
  <c r="C19"/>
  <c r="C7" i="6"/>
  <c r="C8"/>
  <c r="C19"/>
  <c r="F8" i="35"/>
  <c r="F7"/>
  <c r="H29" i="37"/>
  <c r="J139" i="3"/>
  <c r="J140"/>
  <c r="O135"/>
  <c r="P157"/>
  <c r="Q157"/>
  <c r="C140"/>
  <c r="F7" i="36"/>
  <c r="F6"/>
  <c r="D19" i="5"/>
  <c r="C20"/>
  <c r="C28"/>
  <c r="C27"/>
  <c r="M8" i="35"/>
  <c r="D8"/>
  <c r="D7"/>
  <c r="C8"/>
  <c r="D22" i="4"/>
  <c r="L7" i="6"/>
  <c r="L8"/>
  <c r="J7"/>
  <c r="J8"/>
  <c r="I7"/>
  <c r="I8"/>
  <c r="H7"/>
  <c r="H8"/>
  <c r="G7"/>
  <c r="G8"/>
  <c r="G8" i="35"/>
  <c r="H52" i="37"/>
  <c r="N22" i="36"/>
  <c r="N8" i="35"/>
  <c r="L22" i="36"/>
  <c r="L8" i="35"/>
  <c r="E22" i="4"/>
  <c r="AJ7" i="35"/>
  <c r="AJ7" i="36"/>
  <c r="AJ6"/>
  <c r="I35" i="12"/>
  <c r="G13" i="29"/>
  <c r="G5" i="34"/>
  <c r="G6" i="30"/>
  <c r="I72" i="12"/>
  <c r="R7" i="35"/>
  <c r="R7" i="36"/>
  <c r="R6"/>
  <c r="Z7" i="35"/>
  <c r="Z7" i="36"/>
  <c r="Z6"/>
  <c r="D4" i="30"/>
  <c r="F113" i="12"/>
  <c r="F36"/>
  <c r="D35" i="22"/>
  <c r="F54" i="12"/>
  <c r="K4" i="30"/>
  <c r="K35" i="22"/>
  <c r="M113" i="12"/>
  <c r="M36"/>
  <c r="M54"/>
  <c r="B4" i="30"/>
  <c r="D54" i="12"/>
  <c r="B35" i="22"/>
  <c r="D113" i="12"/>
  <c r="D36"/>
  <c r="AK35"/>
  <c r="AK25"/>
  <c r="AK103"/>
  <c r="AK108"/>
  <c r="AM25"/>
  <c r="AM35"/>
  <c r="AM103"/>
  <c r="AM108"/>
  <c r="Q107" i="16"/>
  <c r="Q29"/>
  <c r="Q30"/>
  <c r="Q40"/>
  <c r="Q37"/>
  <c r="J42" i="12"/>
  <c r="H64" i="22"/>
  <c r="H65"/>
  <c r="H7"/>
  <c r="F42" i="12"/>
  <c r="D64" i="22"/>
  <c r="D65"/>
  <c r="D7"/>
  <c r="N45" i="12"/>
  <c r="N42"/>
  <c r="L64" i="22"/>
  <c r="L65"/>
  <c r="L7"/>
  <c r="K42" i="12"/>
  <c r="I64" i="22"/>
  <c r="I65"/>
  <c r="I7"/>
  <c r="G42" i="12"/>
  <c r="E64" i="22"/>
  <c r="E65"/>
  <c r="E7"/>
  <c r="AC41" i="12"/>
  <c r="AG7" i="22"/>
  <c r="AG38" i="12"/>
  <c r="AK5" i="22"/>
  <c r="AA41" i="12"/>
  <c r="AE7" i="22"/>
  <c r="Z41" i="12"/>
  <c r="AD7" i="22"/>
  <c r="Y41" i="12"/>
  <c r="AC7" i="22"/>
  <c r="X41" i="12"/>
  <c r="W41"/>
  <c r="AF41"/>
  <c r="AG41"/>
  <c r="AK7" i="22"/>
  <c r="AB41" i="12"/>
  <c r="AF7" i="22"/>
  <c r="V41" i="12"/>
  <c r="AE41"/>
  <c r="U41"/>
  <c r="AD41"/>
  <c r="AD115" i="16"/>
  <c r="AD116"/>
  <c r="AD117"/>
  <c r="AD108"/>
  <c r="N107"/>
  <c r="N37"/>
  <c r="N29"/>
  <c r="N30"/>
  <c r="N40"/>
  <c r="H40"/>
  <c r="H29"/>
  <c r="H30"/>
  <c r="H107"/>
  <c r="H37"/>
  <c r="J107"/>
  <c r="J40"/>
  <c r="J29"/>
  <c r="J30"/>
  <c r="J37"/>
  <c r="L107"/>
  <c r="L29"/>
  <c r="L30"/>
  <c r="L37"/>
  <c r="L40"/>
  <c r="H361" i="38"/>
  <c r="H362"/>
  <c r="E361"/>
  <c r="E362"/>
  <c r="AA88" i="12"/>
  <c r="AA30"/>
  <c r="AE88"/>
  <c r="AE30"/>
  <c r="AE32"/>
  <c r="AE81"/>
  <c r="AI5" i="22"/>
  <c r="AE39" i="12"/>
  <c r="AI6" i="22"/>
  <c r="AS61"/>
  <c r="AO89" i="12"/>
  <c r="AS91" i="22"/>
  <c r="J17" i="23"/>
  <c r="J24"/>
  <c r="AG79" i="12"/>
  <c r="AG77"/>
  <c r="Z30"/>
  <c r="Z88"/>
  <c r="AD30"/>
  <c r="AD32"/>
  <c r="AD88"/>
  <c r="AD81"/>
  <c r="AJ5" i="22"/>
  <c r="AF39" i="12"/>
  <c r="AJ6" i="22"/>
  <c r="AU88" i="12"/>
  <c r="AU30"/>
  <c r="AU32"/>
  <c r="V49"/>
  <c r="W49"/>
  <c r="X49"/>
  <c r="V81"/>
  <c r="V82"/>
  <c r="W82"/>
  <c r="X82"/>
  <c r="AB7" i="36"/>
  <c r="AB6"/>
  <c r="AD7"/>
  <c r="AD6"/>
  <c r="D285" i="38"/>
  <c r="AJ29" i="16"/>
  <c r="O281" i="38"/>
  <c r="O280"/>
  <c r="E285"/>
  <c r="K17" i="23"/>
  <c r="AV80" i="12"/>
  <c r="AL7" i="36"/>
  <c r="AL6"/>
  <c r="B22" i="29"/>
  <c r="B27"/>
  <c r="G35" i="12"/>
  <c r="E13" i="29"/>
  <c r="E6" i="30"/>
  <c r="E5" i="34"/>
  <c r="G72" i="12"/>
  <c r="K35"/>
  <c r="I13" i="29"/>
  <c r="K72" i="12"/>
  <c r="I5" i="34"/>
  <c r="I6" i="30"/>
  <c r="X7" i="35"/>
  <c r="X7" i="36"/>
  <c r="X6"/>
  <c r="N54" i="12"/>
  <c r="N36"/>
  <c r="N113"/>
  <c r="L35" i="22"/>
  <c r="L4" i="30"/>
  <c r="AT54" i="12"/>
  <c r="AT113"/>
  <c r="AT36"/>
  <c r="P7" i="35"/>
  <c r="P7" i="36"/>
  <c r="P6"/>
  <c r="Y7" i="35"/>
  <c r="Y7" i="36"/>
  <c r="Y6"/>
  <c r="C35" i="22"/>
  <c r="E113" i="12"/>
  <c r="E36"/>
  <c r="C4" i="30"/>
  <c r="E54" i="12"/>
  <c r="F35" i="22"/>
  <c r="H54" i="12"/>
  <c r="F4" i="30"/>
  <c r="H113" i="12"/>
  <c r="H36"/>
  <c r="H4" i="30"/>
  <c r="J54" i="12"/>
  <c r="J113"/>
  <c r="J36"/>
  <c r="H35" i="22"/>
  <c r="L54" i="12"/>
  <c r="J35" i="22"/>
  <c r="L113" i="12"/>
  <c r="J4" i="30"/>
  <c r="L36" i="12"/>
  <c r="N17" i="36"/>
  <c r="O18" i="35"/>
  <c r="N26"/>
  <c r="N17"/>
  <c r="J7" i="22"/>
  <c r="L42" i="12"/>
  <c r="J64" i="22"/>
  <c r="J65"/>
  <c r="H42" i="12"/>
  <c r="F64" i="22"/>
  <c r="F7"/>
  <c r="D42" i="12"/>
  <c r="B7" i="22"/>
  <c r="M42" i="12"/>
  <c r="K64" i="22"/>
  <c r="K65"/>
  <c r="K7"/>
  <c r="I42" i="12"/>
  <c r="G64" i="22"/>
  <c r="G65"/>
  <c r="G7"/>
  <c r="C7"/>
  <c r="E42" i="12"/>
  <c r="C64" i="22"/>
  <c r="C65"/>
  <c r="AL35" i="12"/>
  <c r="AL25"/>
  <c r="AL103"/>
  <c r="AL108"/>
  <c r="AN35"/>
  <c r="AN25"/>
  <c r="AN103"/>
  <c r="AN108"/>
  <c r="AU36"/>
  <c r="AU54"/>
  <c r="AU113"/>
  <c r="AV36"/>
  <c r="AV54"/>
  <c r="AV113"/>
  <c r="AW84"/>
  <c r="AW83"/>
  <c r="AF115" i="16"/>
  <c r="AF116"/>
  <c r="AF117"/>
  <c r="AF108"/>
  <c r="G40"/>
  <c r="G29"/>
  <c r="G107"/>
  <c r="G37"/>
  <c r="G38"/>
  <c r="S39"/>
  <c r="Q38"/>
  <c r="C362" i="38"/>
  <c r="C361"/>
  <c r="C285"/>
  <c r="N283"/>
  <c r="D362"/>
  <c r="D361"/>
  <c r="F362"/>
  <c r="F361"/>
  <c r="AE108" i="16"/>
  <c r="AE115"/>
  <c r="AE116"/>
  <c r="AE117"/>
  <c r="AJ107"/>
  <c r="AJ108"/>
  <c r="AB115"/>
  <c r="AB108"/>
  <c r="M107"/>
  <c r="M29"/>
  <c r="M30"/>
  <c r="M37"/>
  <c r="M38"/>
  <c r="M40"/>
  <c r="I29"/>
  <c r="I30"/>
  <c r="I107"/>
  <c r="I40"/>
  <c r="I37"/>
  <c r="I38"/>
  <c r="K107"/>
  <c r="K29"/>
  <c r="K30"/>
  <c r="K37"/>
  <c r="K40"/>
  <c r="K38"/>
  <c r="BA25"/>
  <c r="AX28"/>
  <c r="N284" i="38"/>
  <c r="C286"/>
  <c r="U32" i="12"/>
  <c r="U31"/>
  <c r="Y61" i="22"/>
  <c r="U89" i="12"/>
  <c r="U90"/>
  <c r="M20"/>
  <c r="M23"/>
  <c r="P120" i="16"/>
  <c r="M105" i="12"/>
  <c r="M106"/>
  <c r="M107"/>
  <c r="M108"/>
  <c r="AC88"/>
  <c r="AC30"/>
  <c r="AT61" i="22"/>
  <c r="AP89" i="12"/>
  <c r="AV88"/>
  <c r="AV30"/>
  <c r="AV32"/>
  <c r="O120" i="16"/>
  <c r="L20" i="12"/>
  <c r="L23"/>
  <c r="L105"/>
  <c r="L106"/>
  <c r="L107"/>
  <c r="L108"/>
  <c r="AB30"/>
  <c r="AG30"/>
  <c r="AB88"/>
  <c r="AH5" i="22"/>
  <c r="AD39" i="12"/>
  <c r="AH6" i="22"/>
  <c r="AF30" i="12"/>
  <c r="AF32"/>
  <c r="AF88"/>
  <c r="AF81"/>
  <c r="AT30"/>
  <c r="AT32"/>
  <c r="AT88"/>
  <c r="O139" i="3"/>
  <c r="O140"/>
  <c r="G46" i="12"/>
  <c r="H46"/>
  <c r="I46"/>
  <c r="J46"/>
  <c r="K46"/>
  <c r="L46"/>
  <c r="M46"/>
  <c r="N46"/>
  <c r="H21" i="29"/>
  <c r="H27"/>
  <c r="L21"/>
  <c r="L27"/>
  <c r="J45" i="12"/>
  <c r="D286" i="38"/>
  <c r="O278"/>
  <c r="G285"/>
  <c r="O276"/>
  <c r="G361"/>
  <c r="AG42" i="12"/>
  <c r="AO31"/>
  <c r="AP31"/>
  <c r="AQ31"/>
  <c r="AR31"/>
  <c r="AS31"/>
  <c r="O175" i="14"/>
  <c r="O176"/>
  <c r="O177"/>
  <c r="O183"/>
  <c r="O184"/>
  <c r="O185"/>
  <c r="O67" i="12"/>
  <c r="M99" i="30"/>
  <c r="P13" i="12"/>
  <c r="O179" i="14"/>
  <c r="O180"/>
  <c r="O181"/>
  <c r="O10" i="12"/>
  <c r="M98" i="30"/>
  <c r="O14" i="12"/>
  <c r="P12"/>
  <c r="O111"/>
  <c r="O109" i="14"/>
  <c r="M123" i="38"/>
  <c r="O150" i="14"/>
  <c r="O92"/>
  <c r="P91"/>
  <c r="N123" i="38"/>
  <c r="O147" i="14"/>
  <c r="O148"/>
  <c r="O149"/>
  <c r="M242" i="38"/>
  <c r="P107" i="14"/>
  <c r="N242" i="38"/>
  <c r="O186" i="14"/>
  <c r="O108"/>
  <c r="O127"/>
  <c r="O128"/>
  <c r="O129"/>
  <c r="D19" i="6"/>
  <c r="C20"/>
  <c r="C28"/>
  <c r="C27"/>
  <c r="D19" i="28"/>
  <c r="C20"/>
  <c r="C28"/>
  <c r="C27"/>
  <c r="C19" i="35"/>
  <c r="C7"/>
  <c r="C7" i="36"/>
  <c r="C6"/>
  <c r="M7"/>
  <c r="M6"/>
  <c r="M7" i="35"/>
  <c r="D7" i="36"/>
  <c r="D6"/>
  <c r="D30" i="4"/>
  <c r="D23"/>
  <c r="D31"/>
  <c r="E19" i="5"/>
  <c r="D27"/>
  <c r="D20"/>
  <c r="D28"/>
  <c r="L7" i="35"/>
  <c r="L7" i="36"/>
  <c r="L6"/>
  <c r="N7" i="35"/>
  <c r="N7" i="36"/>
  <c r="N6"/>
  <c r="E23" i="4"/>
  <c r="E30"/>
  <c r="G7" i="35"/>
  <c r="G7" i="36"/>
  <c r="G6"/>
  <c r="AJ61" i="22"/>
  <c r="AF90" i="12"/>
  <c r="AF61" i="22"/>
  <c r="AQ89" i="12"/>
  <c r="AT91" i="22"/>
  <c r="Y91"/>
  <c r="V89" i="12"/>
  <c r="AX29" i="16"/>
  <c r="BA29"/>
  <c r="BA28"/>
  <c r="I115"/>
  <c r="I116"/>
  <c r="I117"/>
  <c r="I108"/>
  <c r="I103"/>
  <c r="G30"/>
  <c r="S29"/>
  <c r="S30"/>
  <c r="AV61" i="12"/>
  <c r="AV58"/>
  <c r="AZ59" i="22"/>
  <c r="AU58" i="12"/>
  <c r="AY59" i="22"/>
  <c r="AU61" i="12"/>
  <c r="AN36"/>
  <c r="AN54"/>
  <c r="AN113"/>
  <c r="AL28"/>
  <c r="AL32"/>
  <c r="P18" i="35"/>
  <c r="O17" i="36"/>
  <c r="O16"/>
  <c r="O17" i="35"/>
  <c r="H4" i="22"/>
  <c r="H11"/>
  <c r="J51" i="12"/>
  <c r="J52"/>
  <c r="J39"/>
  <c r="H6" i="22"/>
  <c r="J47" i="12"/>
  <c r="H9" i="22"/>
  <c r="J58" i="12"/>
  <c r="J90"/>
  <c r="H59" i="22"/>
  <c r="H62"/>
  <c r="J61" i="12"/>
  <c r="F4" i="22"/>
  <c r="F11"/>
  <c r="H51" i="12"/>
  <c r="H52"/>
  <c r="H39"/>
  <c r="F6" i="22"/>
  <c r="H47" i="12"/>
  <c r="F9" i="22"/>
  <c r="H58" i="12"/>
  <c r="H90"/>
  <c r="F59" i="22"/>
  <c r="F62"/>
  <c r="H61" i="12"/>
  <c r="E115"/>
  <c r="E114"/>
  <c r="AT115"/>
  <c r="AT114"/>
  <c r="N51"/>
  <c r="N52"/>
  <c r="L4" i="22"/>
  <c r="L11"/>
  <c r="N39" i="12"/>
  <c r="L6" i="22"/>
  <c r="N47" i="12"/>
  <c r="L9" i="22"/>
  <c r="K30" i="12"/>
  <c r="K32"/>
  <c r="K74"/>
  <c r="I35" i="22"/>
  <c r="K113" i="12"/>
  <c r="K36"/>
  <c r="I4" i="30"/>
  <c r="K54" i="12"/>
  <c r="E19" i="29"/>
  <c r="E21"/>
  <c r="E27"/>
  <c r="AY61" i="22"/>
  <c r="AU90" i="12"/>
  <c r="AH61" i="22"/>
  <c r="AD90" i="12"/>
  <c r="AD61" i="22"/>
  <c r="K27" i="23"/>
  <c r="AK8" i="22"/>
  <c r="AI61"/>
  <c r="AE90" i="12"/>
  <c r="AE61" i="22"/>
  <c r="L115" i="16"/>
  <c r="L116"/>
  <c r="L117"/>
  <c r="L103"/>
  <c r="L108"/>
  <c r="J115"/>
  <c r="J116"/>
  <c r="J117"/>
  <c r="J108"/>
  <c r="J103"/>
  <c r="H115"/>
  <c r="H116"/>
  <c r="H117"/>
  <c r="H103"/>
  <c r="H108"/>
  <c r="N115"/>
  <c r="N116"/>
  <c r="N117"/>
  <c r="N108"/>
  <c r="N103"/>
  <c r="AA20" i="12"/>
  <c r="U9" i="4"/>
  <c r="AA105" i="12"/>
  <c r="AA106"/>
  <c r="AA107"/>
  <c r="Y7" i="22"/>
  <c r="U47" i="12"/>
  <c r="Y9" i="22"/>
  <c r="Z7"/>
  <c r="V47" i="12"/>
  <c r="Z9" i="22"/>
  <c r="AA7"/>
  <c r="W47" i="12"/>
  <c r="AA9" i="22"/>
  <c r="AM28" i="12"/>
  <c r="AM32"/>
  <c r="AK27"/>
  <c r="AK28"/>
  <c r="AK32"/>
  <c r="D115"/>
  <c r="D114"/>
  <c r="D58"/>
  <c r="D90"/>
  <c r="B59" i="22"/>
  <c r="B62"/>
  <c r="D61" i="12"/>
  <c r="D62"/>
  <c r="D55"/>
  <c r="M51"/>
  <c r="M52"/>
  <c r="K4" i="22"/>
  <c r="K11"/>
  <c r="M39" i="12"/>
  <c r="K6" i="22"/>
  <c r="M47" i="12"/>
  <c r="K9" i="22"/>
  <c r="D59"/>
  <c r="D62"/>
  <c r="F58" i="12"/>
  <c r="F90"/>
  <c r="F61"/>
  <c r="F114"/>
  <c r="F115"/>
  <c r="I74"/>
  <c r="I30"/>
  <c r="I32"/>
  <c r="G4" i="30"/>
  <c r="I113" i="12"/>
  <c r="I36"/>
  <c r="G35" i="22"/>
  <c r="I54" i="12"/>
  <c r="S37" i="16"/>
  <c r="N38"/>
  <c r="AX61" i="22"/>
  <c r="AV90" i="12"/>
  <c r="AZ61" i="22"/>
  <c r="AG61"/>
  <c r="D136" i="12"/>
  <c r="D163"/>
  <c r="Y112" i="22"/>
  <c r="V31" i="12"/>
  <c r="U33"/>
  <c r="O284" i="38"/>
  <c r="N286"/>
  <c r="K115" i="16"/>
  <c r="K116"/>
  <c r="K117"/>
  <c r="K103"/>
  <c r="K108"/>
  <c r="M115"/>
  <c r="M116"/>
  <c r="M117"/>
  <c r="M103"/>
  <c r="M108"/>
  <c r="AB116"/>
  <c r="AJ115"/>
  <c r="AJ109"/>
  <c r="AJ122"/>
  <c r="AJ123"/>
  <c r="V9" i="4"/>
  <c r="AB20" i="12"/>
  <c r="AB105"/>
  <c r="AB106"/>
  <c r="AB107"/>
  <c r="O283" i="38"/>
  <c r="N285"/>
  <c r="O38" i="16"/>
  <c r="T43"/>
  <c r="R38"/>
  <c r="S40"/>
  <c r="T39"/>
  <c r="P38"/>
  <c r="G115"/>
  <c r="G103"/>
  <c r="G108"/>
  <c r="S107"/>
  <c r="S109"/>
  <c r="AC105" i="12"/>
  <c r="AC106"/>
  <c r="AC107"/>
  <c r="W9" i="4"/>
  <c r="AC20" i="12"/>
  <c r="AV115"/>
  <c r="AV114"/>
  <c r="AV51"/>
  <c r="AV52"/>
  <c r="AV39"/>
  <c r="AZ6" i="22"/>
  <c r="AV47" i="12"/>
  <c r="AU114"/>
  <c r="AU115"/>
  <c r="AU51"/>
  <c r="AU52"/>
  <c r="AU39"/>
  <c r="AY6" i="22"/>
  <c r="AU47" i="12"/>
  <c r="AN28"/>
  <c r="AN32"/>
  <c r="AL54"/>
  <c r="AL113"/>
  <c r="AL36"/>
  <c r="B64" i="22"/>
  <c r="P42" i="12"/>
  <c r="F65" i="22"/>
  <c r="P64"/>
  <c r="P65"/>
  <c r="N16" i="36"/>
  <c r="N23"/>
  <c r="J4" i="22"/>
  <c r="J11"/>
  <c r="L51" i="12"/>
  <c r="L52"/>
  <c r="L39"/>
  <c r="J6" i="22"/>
  <c r="L47" i="12"/>
  <c r="J9" i="22"/>
  <c r="L115" i="12"/>
  <c r="L114"/>
  <c r="L61"/>
  <c r="J59" i="22"/>
  <c r="J62"/>
  <c r="L58" i="12"/>
  <c r="L90"/>
  <c r="J114"/>
  <c r="J115"/>
  <c r="H115"/>
  <c r="H114"/>
  <c r="E61"/>
  <c r="E55"/>
  <c r="C59" i="22"/>
  <c r="C62"/>
  <c r="E58" i="12"/>
  <c r="E90"/>
  <c r="C4" i="22"/>
  <c r="C11"/>
  <c r="E51" i="12"/>
  <c r="E52"/>
  <c r="E39"/>
  <c r="C6" i="22"/>
  <c r="E47" i="12"/>
  <c r="C9" i="22"/>
  <c r="AT51" i="12"/>
  <c r="AT52"/>
  <c r="AT39"/>
  <c r="AX6" i="22"/>
  <c r="AT47" i="12"/>
  <c r="AX59" i="22"/>
  <c r="AT58" i="12"/>
  <c r="AT90"/>
  <c r="AT61"/>
  <c r="N115"/>
  <c r="N114"/>
  <c r="N58"/>
  <c r="N90"/>
  <c r="L59" i="22"/>
  <c r="L62"/>
  <c r="N61" i="12"/>
  <c r="I19" i="29"/>
  <c r="I21"/>
  <c r="I27"/>
  <c r="G30" i="12"/>
  <c r="G74"/>
  <c r="E4" i="30"/>
  <c r="G54" i="12"/>
  <c r="E35" i="22"/>
  <c r="G113" i="12"/>
  <c r="G36"/>
  <c r="C22" i="29"/>
  <c r="B28"/>
  <c r="AH7" i="22"/>
  <c r="AD47" i="12"/>
  <c r="AH9" i="22"/>
  <c r="AI7"/>
  <c r="AE47" i="12"/>
  <c r="AI9" i="22"/>
  <c r="AJ7"/>
  <c r="AF47" i="12"/>
  <c r="AJ9" i="22"/>
  <c r="AB7"/>
  <c r="X47" i="12"/>
  <c r="AB9" i="22"/>
  <c r="Q115" i="16"/>
  <c r="Q116"/>
  <c r="Q117"/>
  <c r="Q103"/>
  <c r="Q108"/>
  <c r="AM36" i="12"/>
  <c r="AM54"/>
  <c r="AM113"/>
  <c r="AK36"/>
  <c r="AK113"/>
  <c r="AK54"/>
  <c r="B4" i="22"/>
  <c r="B11"/>
  <c r="D51" i="12"/>
  <c r="D52"/>
  <c r="D39"/>
  <c r="B6" i="22"/>
  <c r="D47" i="12"/>
  <c r="B9" i="22"/>
  <c r="M58" i="12"/>
  <c r="M90"/>
  <c r="K59" i="22"/>
  <c r="K62"/>
  <c r="M61" i="12"/>
  <c r="M115"/>
  <c r="M114"/>
  <c r="D4" i="22"/>
  <c r="D11"/>
  <c r="F51" i="12"/>
  <c r="F52"/>
  <c r="F39"/>
  <c r="D6" i="22"/>
  <c r="F47" i="12"/>
  <c r="D9" i="22"/>
  <c r="G19" i="29"/>
  <c r="G21"/>
  <c r="G27"/>
  <c r="AT31" i="12"/>
  <c r="AU31"/>
  <c r="AV31"/>
  <c r="AW30"/>
  <c r="AG88"/>
  <c r="BB25" i="16"/>
  <c r="AW88" i="12"/>
  <c r="L38" i="16"/>
  <c r="J38"/>
  <c r="H38"/>
  <c r="S38"/>
  <c r="N99" i="30"/>
  <c r="F13" i="23"/>
  <c r="AH13" i="12"/>
  <c r="O69"/>
  <c r="P67"/>
  <c r="O151" i="14"/>
  <c r="O152"/>
  <c r="O153"/>
  <c r="M243" i="38"/>
  <c r="O190" i="14"/>
  <c r="O110"/>
  <c r="P109"/>
  <c r="N243" i="38"/>
  <c r="F12" i="23"/>
  <c r="I6" i="40"/>
  <c r="AH12" i="12"/>
  <c r="N98" i="30"/>
  <c r="O15" i="12"/>
  <c r="P14"/>
  <c r="O103"/>
  <c r="O108"/>
  <c r="O28"/>
  <c r="P10"/>
  <c r="O79"/>
  <c r="O38"/>
  <c r="M5" i="22"/>
  <c r="O187" i="14"/>
  <c r="O188"/>
  <c r="O189"/>
  <c r="P111" i="12"/>
  <c r="O112"/>
  <c r="E19" i="6"/>
  <c r="D20"/>
  <c r="D28"/>
  <c r="D27"/>
  <c r="E19" i="28"/>
  <c r="D20"/>
  <c r="D28"/>
  <c r="D27"/>
  <c r="F19" i="5"/>
  <c r="E20"/>
  <c r="E28"/>
  <c r="E27"/>
  <c r="C27" i="35"/>
  <c r="C18" i="36"/>
  <c r="C20" i="35"/>
  <c r="C28"/>
  <c r="D19"/>
  <c r="F14" i="4"/>
  <c r="F15"/>
  <c r="E31"/>
  <c r="M144" i="12"/>
  <c r="M171"/>
  <c r="AX112" i="22"/>
  <c r="S122" i="16"/>
  <c r="S123"/>
  <c r="N10" i="22"/>
  <c r="F86" i="12"/>
  <c r="F48"/>
  <c r="F81"/>
  <c r="D53"/>
  <c r="E53"/>
  <c r="F53"/>
  <c r="D86"/>
  <c r="D87"/>
  <c r="D48"/>
  <c r="AK114"/>
  <c r="AK115"/>
  <c r="AM114"/>
  <c r="AM115"/>
  <c r="AQ59" i="22"/>
  <c r="AM58" i="12"/>
  <c r="AM90"/>
  <c r="AM61"/>
  <c r="Q120" i="16"/>
  <c r="N105" i="12"/>
  <c r="N106"/>
  <c r="N107"/>
  <c r="N108"/>
  <c r="N20"/>
  <c r="N23"/>
  <c r="D22" i="29"/>
  <c r="C28"/>
  <c r="E4" i="22"/>
  <c r="E11"/>
  <c r="G51" i="12"/>
  <c r="G52"/>
  <c r="G39"/>
  <c r="E6" i="22"/>
  <c r="G47" i="12"/>
  <c r="E9" i="22"/>
  <c r="G31" i="12"/>
  <c r="G32"/>
  <c r="N128"/>
  <c r="N155"/>
  <c r="L112" i="22"/>
  <c r="N117" i="12"/>
  <c r="N116"/>
  <c r="AT48"/>
  <c r="AT81"/>
  <c r="AT86"/>
  <c r="H116"/>
  <c r="H117"/>
  <c r="L128"/>
  <c r="L155"/>
  <c r="J112" i="22"/>
  <c r="L116" i="12"/>
  <c r="L117"/>
  <c r="O64" i="22"/>
  <c r="O65"/>
  <c r="B65"/>
  <c r="AL51" i="12"/>
  <c r="AL52"/>
  <c r="AL47"/>
  <c r="AL39"/>
  <c r="AP6" i="22"/>
  <c r="AL58" i="12"/>
  <c r="AL90"/>
  <c r="AP59" i="22"/>
  <c r="AL61" i="12"/>
  <c r="AU116"/>
  <c r="AU117"/>
  <c r="AV86"/>
  <c r="AV48"/>
  <c r="AV81"/>
  <c r="AV116"/>
  <c r="AV117"/>
  <c r="G116" i="16"/>
  <c r="S115"/>
  <c r="T115"/>
  <c r="AB15" i="12"/>
  <c r="AB23"/>
  <c r="M128" i="16"/>
  <c r="M129"/>
  <c r="J105" i="12"/>
  <c r="J106"/>
  <c r="J107"/>
  <c r="J108"/>
  <c r="M120" i="16"/>
  <c r="J20" i="12"/>
  <c r="J23"/>
  <c r="M130" i="16"/>
  <c r="O144" i="12"/>
  <c r="O171"/>
  <c r="AZ112" i="22"/>
  <c r="G4"/>
  <c r="G11"/>
  <c r="I51" i="12"/>
  <c r="I52"/>
  <c r="I39"/>
  <c r="G6" i="22"/>
  <c r="I47" i="12"/>
  <c r="G9" i="22"/>
  <c r="M86" i="12"/>
  <c r="M48"/>
  <c r="M81"/>
  <c r="D128"/>
  <c r="D155"/>
  <c r="D91"/>
  <c r="B112" i="22"/>
  <c r="D116" i="12"/>
  <c r="D117"/>
  <c r="AA15"/>
  <c r="AA23"/>
  <c r="E105"/>
  <c r="E106"/>
  <c r="E107"/>
  <c r="E108"/>
  <c r="H128" i="16"/>
  <c r="H129"/>
  <c r="H120"/>
  <c r="E20" i="12"/>
  <c r="E23"/>
  <c r="H130" i="16"/>
  <c r="L128"/>
  <c r="L129"/>
  <c r="L131"/>
  <c r="L120"/>
  <c r="I105" i="12"/>
  <c r="I106"/>
  <c r="I107"/>
  <c r="I108"/>
  <c r="I20"/>
  <c r="I23"/>
  <c r="L130" i="16"/>
  <c r="N144" i="12"/>
  <c r="N171"/>
  <c r="AY112" i="22"/>
  <c r="K114" i="12"/>
  <c r="K115"/>
  <c r="H86"/>
  <c r="H48"/>
  <c r="H81"/>
  <c r="J86"/>
  <c r="J48"/>
  <c r="J81"/>
  <c r="Q18" i="35"/>
  <c r="P17" i="36"/>
  <c r="P16"/>
  <c r="P17" i="35"/>
  <c r="AN114" i="12"/>
  <c r="AN115"/>
  <c r="AN51"/>
  <c r="AN52"/>
  <c r="AN39"/>
  <c r="AR6" i="22"/>
  <c r="AN47" i="12"/>
  <c r="BB27" i="16"/>
  <c r="BB26"/>
  <c r="Z91" i="22"/>
  <c r="W89" i="12"/>
  <c r="AJ112" i="22"/>
  <c r="O136" i="12"/>
  <c r="O163"/>
  <c r="E62"/>
  <c r="F62"/>
  <c r="M116"/>
  <c r="M117"/>
  <c r="M128"/>
  <c r="M155"/>
  <c r="K112" i="22"/>
  <c r="AK58" i="12"/>
  <c r="AK90"/>
  <c r="AK55"/>
  <c r="AO59" i="22"/>
  <c r="AK61" i="12"/>
  <c r="AK62"/>
  <c r="AL62"/>
  <c r="AM62"/>
  <c r="AK47"/>
  <c r="AK51"/>
  <c r="AK52"/>
  <c r="AK39"/>
  <c r="AO6" i="22"/>
  <c r="AM51" i="12"/>
  <c r="AM52"/>
  <c r="AM39"/>
  <c r="AQ6" i="22"/>
  <c r="AM47" i="12"/>
  <c r="G115"/>
  <c r="G114"/>
  <c r="E59" i="22"/>
  <c r="E62"/>
  <c r="G61" i="12"/>
  <c r="G58"/>
  <c r="G90"/>
  <c r="E86"/>
  <c r="E48"/>
  <c r="E81"/>
  <c r="E128"/>
  <c r="E155"/>
  <c r="C112" i="22"/>
  <c r="C90"/>
  <c r="E59" i="12"/>
  <c r="J117"/>
  <c r="J116"/>
  <c r="L86"/>
  <c r="L48"/>
  <c r="L81"/>
  <c r="N64" i="22"/>
  <c r="Q48" i="12"/>
  <c r="Q51"/>
  <c r="AL115"/>
  <c r="AL114"/>
  <c r="AU86"/>
  <c r="AU48"/>
  <c r="AU81"/>
  <c r="AC15"/>
  <c r="AC23"/>
  <c r="T107" i="16"/>
  <c r="F12" i="40"/>
  <c r="S108" i="16"/>
  <c r="AB117"/>
  <c r="AJ116"/>
  <c r="AJ117"/>
  <c r="AG105" i="12"/>
  <c r="AG106"/>
  <c r="AG107"/>
  <c r="K128" i="16"/>
  <c r="K129"/>
  <c r="K131"/>
  <c r="H105" i="12"/>
  <c r="H106"/>
  <c r="H107"/>
  <c r="H108"/>
  <c r="K120" i="16"/>
  <c r="H20" i="12"/>
  <c r="H23"/>
  <c r="K130" i="16"/>
  <c r="W31" i="12"/>
  <c r="V33"/>
  <c r="G59" i="22"/>
  <c r="G62"/>
  <c r="I61" i="12"/>
  <c r="I58"/>
  <c r="I90"/>
  <c r="I115"/>
  <c r="I114"/>
  <c r="F117"/>
  <c r="F116"/>
  <c r="D112" i="22"/>
  <c r="F128" i="12"/>
  <c r="F155"/>
  <c r="D59"/>
  <c r="B90" i="22"/>
  <c r="AL27" i="12"/>
  <c r="AK33"/>
  <c r="N128" i="16"/>
  <c r="N129"/>
  <c r="N131"/>
  <c r="K105" i="12"/>
  <c r="K106"/>
  <c r="K107"/>
  <c r="K108"/>
  <c r="N120" i="16"/>
  <c r="K20" i="12"/>
  <c r="K23"/>
  <c r="N130" i="16"/>
  <c r="J128"/>
  <c r="J129"/>
  <c r="G105" i="12"/>
  <c r="G106"/>
  <c r="G107"/>
  <c r="G108"/>
  <c r="J120" i="16"/>
  <c r="G20" i="12"/>
  <c r="G23"/>
  <c r="J130" i="16"/>
  <c r="N136" i="12"/>
  <c r="N163"/>
  <c r="AI112" i="22"/>
  <c r="M136" i="12"/>
  <c r="M163"/>
  <c r="AH112" i="22"/>
  <c r="K58" i="12"/>
  <c r="K90"/>
  <c r="I59" i="22"/>
  <c r="I62"/>
  <c r="K61" i="12"/>
  <c r="I4" i="22"/>
  <c r="I11"/>
  <c r="K51" i="12"/>
  <c r="K52"/>
  <c r="K39"/>
  <c r="I6" i="22"/>
  <c r="K47" i="12"/>
  <c r="I9" i="22"/>
  <c r="N86" i="12"/>
  <c r="N48"/>
  <c r="N81"/>
  <c r="AT117"/>
  <c r="AT116"/>
  <c r="E116"/>
  <c r="E117"/>
  <c r="H128"/>
  <c r="H155"/>
  <c r="F112" i="22"/>
  <c r="J128" i="12"/>
  <c r="J155"/>
  <c r="H112" i="22"/>
  <c r="AN58" i="12"/>
  <c r="AN90"/>
  <c r="AN61"/>
  <c r="AR59" i="22"/>
  <c r="I128" i="16"/>
  <c r="I129"/>
  <c r="F105" i="12"/>
  <c r="F106"/>
  <c r="F107"/>
  <c r="F108"/>
  <c r="I120" i="16"/>
  <c r="F20" i="12"/>
  <c r="F23"/>
  <c r="I130" i="16"/>
  <c r="AU91" i="22"/>
  <c r="AR89" i="12"/>
  <c r="S103" i="16"/>
  <c r="F55" i="12"/>
  <c r="G55"/>
  <c r="O70"/>
  <c r="P69"/>
  <c r="P68"/>
  <c r="P79"/>
  <c r="P77"/>
  <c r="O88"/>
  <c r="M2" i="29"/>
  <c r="O80" i="12"/>
  <c r="AH14"/>
  <c r="P28"/>
  <c r="P103"/>
  <c r="F11" i="23"/>
  <c r="G11"/>
  <c r="F25"/>
  <c r="P112" i="12"/>
  <c r="P38"/>
  <c r="N5" i="22"/>
  <c r="AH10" i="12"/>
  <c r="P15"/>
  <c r="O17"/>
  <c r="B6" i="40"/>
  <c r="O191" i="14"/>
  <c r="O192"/>
  <c r="O193"/>
  <c r="F19" i="6"/>
  <c r="E27"/>
  <c r="E20"/>
  <c r="E28"/>
  <c r="E27" i="28"/>
  <c r="E20"/>
  <c r="E19" i="35"/>
  <c r="D18" i="36"/>
  <c r="D27" i="35"/>
  <c r="D20"/>
  <c r="D28"/>
  <c r="C24" i="36"/>
  <c r="C19"/>
  <c r="F27" i="5"/>
  <c r="F20"/>
  <c r="F12" i="36"/>
  <c r="F11"/>
  <c r="F22" i="4"/>
  <c r="G59" i="12"/>
  <c r="E90" i="22"/>
  <c r="H55" i="12"/>
  <c r="G144"/>
  <c r="G171"/>
  <c r="AR112" i="22"/>
  <c r="K128" i="12"/>
  <c r="K155"/>
  <c r="I112" i="22"/>
  <c r="AM27" i="12"/>
  <c r="AL33"/>
  <c r="I116"/>
  <c r="I117"/>
  <c r="X31"/>
  <c r="W33"/>
  <c r="Y20"/>
  <c r="S9" i="4"/>
  <c r="Y105" i="12"/>
  <c r="Y106"/>
  <c r="Y107"/>
  <c r="G12" i="40"/>
  <c r="H12"/>
  <c r="I12"/>
  <c r="F14"/>
  <c r="G14"/>
  <c r="H14"/>
  <c r="AM86" i="12"/>
  <c r="AM48"/>
  <c r="AM81"/>
  <c r="AK53"/>
  <c r="AL53"/>
  <c r="AM53"/>
  <c r="AN53"/>
  <c r="AK86"/>
  <c r="AK87"/>
  <c r="AK48"/>
  <c r="AK59"/>
  <c r="AO90" i="22"/>
  <c r="AN117" i="12"/>
  <c r="AN116"/>
  <c r="R18" i="35"/>
  <c r="Q17"/>
  <c r="Q17" i="36"/>
  <c r="Q16"/>
  <c r="B113" i="22"/>
  <c r="D129" i="12"/>
  <c r="D156"/>
  <c r="E91"/>
  <c r="I86"/>
  <c r="I48"/>
  <c r="I81"/>
  <c r="AL86"/>
  <c r="AL48"/>
  <c r="AL81"/>
  <c r="G33"/>
  <c r="H31"/>
  <c r="E22" i="29"/>
  <c r="D28"/>
  <c r="AQ112" i="22"/>
  <c r="F144" i="12"/>
  <c r="F171"/>
  <c r="AM117"/>
  <c r="AM116"/>
  <c r="AK116"/>
  <c r="AK117"/>
  <c r="D49"/>
  <c r="E49"/>
  <c r="F49"/>
  <c r="D81"/>
  <c r="D82"/>
  <c r="E82"/>
  <c r="F82"/>
  <c r="I131" i="16"/>
  <c r="J131"/>
  <c r="AN62" i="12"/>
  <c r="G62"/>
  <c r="H62"/>
  <c r="I62"/>
  <c r="J62"/>
  <c r="K62"/>
  <c r="L62"/>
  <c r="M62"/>
  <c r="N62"/>
  <c r="AL55"/>
  <c r="G53"/>
  <c r="H53"/>
  <c r="I53"/>
  <c r="J53"/>
  <c r="K53"/>
  <c r="L53"/>
  <c r="M53"/>
  <c r="N53"/>
  <c r="D90" i="22"/>
  <c r="F59" i="12"/>
  <c r="AV91" i="22"/>
  <c r="AS89" i="12"/>
  <c r="K86"/>
  <c r="K48"/>
  <c r="K81"/>
  <c r="G112" i="22"/>
  <c r="I128" i="12"/>
  <c r="I155"/>
  <c r="AL116"/>
  <c r="AL117"/>
  <c r="G128"/>
  <c r="G155"/>
  <c r="E112" i="22"/>
  <c r="G116" i="12"/>
  <c r="G117"/>
  <c r="D144"/>
  <c r="D171"/>
  <c r="AO112" i="22"/>
  <c r="AA91"/>
  <c r="X89" i="12"/>
  <c r="AN86"/>
  <c r="AN48"/>
  <c r="AN81"/>
  <c r="K117"/>
  <c r="K116"/>
  <c r="G117" i="16"/>
  <c r="S116"/>
  <c r="S117"/>
  <c r="P105" i="12"/>
  <c r="P106"/>
  <c r="P107"/>
  <c r="P108"/>
  <c r="AP112" i="22"/>
  <c r="E144" i="12"/>
  <c r="E171"/>
  <c r="C66" i="22"/>
  <c r="N65"/>
  <c r="G86" i="12"/>
  <c r="G48"/>
  <c r="G81"/>
  <c r="H131" i="16"/>
  <c r="M131"/>
  <c r="E87" i="12"/>
  <c r="F87"/>
  <c r="G87"/>
  <c r="H87"/>
  <c r="I87"/>
  <c r="J87"/>
  <c r="K87"/>
  <c r="L87"/>
  <c r="M87"/>
  <c r="N87"/>
  <c r="M5" i="34"/>
  <c r="O72" i="12"/>
  <c r="P70"/>
  <c r="M13" i="29"/>
  <c r="O35" i="12"/>
  <c r="M6" i="30"/>
  <c r="P110" i="12"/>
  <c r="P104"/>
  <c r="O18"/>
  <c r="P17"/>
  <c r="P18"/>
  <c r="O89"/>
  <c r="M91" i="22"/>
  <c r="P88" i="12"/>
  <c r="N61" i="22"/>
  <c r="M61"/>
  <c r="U78" i="12"/>
  <c r="G27" i="23"/>
  <c r="N8" i="22"/>
  <c r="M21" i="29"/>
  <c r="M7"/>
  <c r="N7"/>
  <c r="N2"/>
  <c r="F12" i="28"/>
  <c r="F13"/>
  <c r="F19"/>
  <c r="E28"/>
  <c r="F27" i="6"/>
  <c r="F20"/>
  <c r="E18" i="36"/>
  <c r="E27" i="35"/>
  <c r="F19"/>
  <c r="F18" i="36"/>
  <c r="E20" i="35"/>
  <c r="E28"/>
  <c r="G12" i="5"/>
  <c r="G13"/>
  <c r="G19"/>
  <c r="F28"/>
  <c r="D19" i="36"/>
  <c r="D24"/>
  <c r="F23" i="4"/>
  <c r="F30"/>
  <c r="AB91" i="22"/>
  <c r="Y89" i="12"/>
  <c r="AW91" i="22"/>
  <c r="AT89" i="12"/>
  <c r="H33"/>
  <c r="I31"/>
  <c r="C113" i="22"/>
  <c r="E129" i="12"/>
  <c r="E156"/>
  <c r="F91"/>
  <c r="AK49"/>
  <c r="AL49"/>
  <c r="AM49"/>
  <c r="AN49"/>
  <c r="AK81"/>
  <c r="AK82"/>
  <c r="AL82"/>
  <c r="AM82"/>
  <c r="AN82"/>
  <c r="I14" i="40"/>
  <c r="F90" i="22"/>
  <c r="H59" i="12"/>
  <c r="I55"/>
  <c r="G82"/>
  <c r="H82"/>
  <c r="I82"/>
  <c r="J82"/>
  <c r="K82"/>
  <c r="L82"/>
  <c r="M82"/>
  <c r="N82"/>
  <c r="D66" i="22"/>
  <c r="E66"/>
  <c r="F66"/>
  <c r="G66"/>
  <c r="H66"/>
  <c r="I66"/>
  <c r="J66"/>
  <c r="K66"/>
  <c r="L66"/>
  <c r="M66"/>
  <c r="N66"/>
  <c r="G128" i="16"/>
  <c r="G129"/>
  <c r="G120"/>
  <c r="D105" i="12"/>
  <c r="D106"/>
  <c r="D107"/>
  <c r="D108"/>
  <c r="D20"/>
  <c r="AP90" i="22"/>
  <c r="AL59" i="12"/>
  <c r="AM55"/>
  <c r="F22" i="29"/>
  <c r="E28"/>
  <c r="R17" i="36"/>
  <c r="R16"/>
  <c r="S18" i="35"/>
  <c r="R17"/>
  <c r="Y15" i="12"/>
  <c r="AG15"/>
  <c r="AH15"/>
  <c r="Y23"/>
  <c r="AG23"/>
  <c r="AG20"/>
  <c r="Y31"/>
  <c r="Z31"/>
  <c r="AA31"/>
  <c r="AB31"/>
  <c r="AC31"/>
  <c r="AD31"/>
  <c r="AE31"/>
  <c r="AF31"/>
  <c r="X33"/>
  <c r="AN27"/>
  <c r="AN33"/>
  <c r="AM33"/>
  <c r="G49"/>
  <c r="H49"/>
  <c r="I49"/>
  <c r="J49"/>
  <c r="K49"/>
  <c r="L49"/>
  <c r="M49"/>
  <c r="N49"/>
  <c r="AL87"/>
  <c r="AM87"/>
  <c r="AN87"/>
  <c r="P35"/>
  <c r="O54"/>
  <c r="M35" i="22"/>
  <c r="M4" i="30"/>
  <c r="O113" i="12"/>
  <c r="O36"/>
  <c r="N5" i="34"/>
  <c r="N6" i="30"/>
  <c r="N21" i="29"/>
  <c r="N27"/>
  <c r="N13"/>
  <c r="M19"/>
  <c r="N19"/>
  <c r="P72" i="12"/>
  <c r="E13" i="23"/>
  <c r="G13"/>
  <c r="O74" i="12"/>
  <c r="O30"/>
  <c r="M27" i="29"/>
  <c r="F20" i="28"/>
  <c r="F27"/>
  <c r="G12" i="6"/>
  <c r="G13"/>
  <c r="F28"/>
  <c r="G27" i="5"/>
  <c r="G20"/>
  <c r="F20" i="35"/>
  <c r="F27"/>
  <c r="E19" i="36"/>
  <c r="E24"/>
  <c r="F24"/>
  <c r="F19"/>
  <c r="G12" i="37"/>
  <c r="G14" i="4"/>
  <c r="G15"/>
  <c r="F31"/>
  <c r="G22" i="29"/>
  <c r="F28"/>
  <c r="D23" i="12"/>
  <c r="P20"/>
  <c r="J11" i="40"/>
  <c r="I16"/>
  <c r="J13"/>
  <c r="F129" i="12"/>
  <c r="F156"/>
  <c r="G91"/>
  <c r="D113" i="22"/>
  <c r="T18" i="35"/>
  <c r="S17"/>
  <c r="S17" i="36"/>
  <c r="S16"/>
  <c r="AM59" i="12"/>
  <c r="AQ90" i="22"/>
  <c r="AN55" i="12"/>
  <c r="I59"/>
  <c r="G90" i="22"/>
  <c r="J55" i="12"/>
  <c r="J31"/>
  <c r="I33"/>
  <c r="AX91" i="22"/>
  <c r="AU89" i="12"/>
  <c r="AC91" i="22"/>
  <c r="Z89" i="12"/>
  <c r="J12" i="40"/>
  <c r="O32" i="12"/>
  <c r="P32"/>
  <c r="P30"/>
  <c r="Q30"/>
  <c r="O114"/>
  <c r="O115"/>
  <c r="N35" i="22"/>
  <c r="E12" i="23"/>
  <c r="D7" i="40"/>
  <c r="P113" i="12"/>
  <c r="P115"/>
  <c r="N4" i="30"/>
  <c r="P36" i="12"/>
  <c r="O47"/>
  <c r="M9" i="22"/>
  <c r="M4"/>
  <c r="M11"/>
  <c r="O51" i="12"/>
  <c r="O52"/>
  <c r="O39"/>
  <c r="M6" i="22"/>
  <c r="M59"/>
  <c r="M62"/>
  <c r="O58" i="12"/>
  <c r="O61"/>
  <c r="P54"/>
  <c r="G19" i="6"/>
  <c r="G13" i="35"/>
  <c r="G19"/>
  <c r="G12" i="28"/>
  <c r="G13"/>
  <c r="G19"/>
  <c r="F28"/>
  <c r="F28" i="35"/>
  <c r="G12"/>
  <c r="G28" i="5"/>
  <c r="H12"/>
  <c r="H13"/>
  <c r="H19"/>
  <c r="H20"/>
  <c r="G12" i="36"/>
  <c r="G22" i="4"/>
  <c r="H27" i="5"/>
  <c r="I12" i="37"/>
  <c r="J12"/>
  <c r="G16"/>
  <c r="I16"/>
  <c r="AD91" i="22"/>
  <c r="AA89" i="12"/>
  <c r="AY91" i="22"/>
  <c r="AV89" i="12"/>
  <c r="AZ91" i="22"/>
  <c r="H90"/>
  <c r="J59" i="12"/>
  <c r="K55"/>
  <c r="U18" i="35"/>
  <c r="T17"/>
  <c r="T17" i="36"/>
  <c r="T16"/>
  <c r="G129" i="12"/>
  <c r="G156"/>
  <c r="H91"/>
  <c r="E113" i="22"/>
  <c r="G130" i="16"/>
  <c r="G131"/>
  <c r="P23" i="12"/>
  <c r="H22" i="29"/>
  <c r="G28"/>
  <c r="J14" i="40"/>
  <c r="K31" i="12"/>
  <c r="J33"/>
  <c r="AR90" i="22"/>
  <c r="AN59" i="12"/>
  <c r="P61"/>
  <c r="O62"/>
  <c r="P39"/>
  <c r="N6" i="22"/>
  <c r="P47" i="12"/>
  <c r="N9" i="22"/>
  <c r="N4"/>
  <c r="N11"/>
  <c r="P51" i="12"/>
  <c r="P116"/>
  <c r="P117"/>
  <c r="H44" i="23"/>
  <c r="H45"/>
  <c r="H43"/>
  <c r="G12"/>
  <c r="H12"/>
  <c r="O116" i="12"/>
  <c r="O117"/>
  <c r="Q37"/>
  <c r="F92"/>
  <c r="E92"/>
  <c r="G92"/>
  <c r="D92"/>
  <c r="N59" i="22"/>
  <c r="H92" i="12"/>
  <c r="P58"/>
  <c r="O90"/>
  <c r="O86"/>
  <c r="O53"/>
  <c r="P52"/>
  <c r="O48"/>
  <c r="D8" i="40"/>
  <c r="B7"/>
  <c r="G27" i="28"/>
  <c r="G20"/>
  <c r="G20" i="6"/>
  <c r="G27"/>
  <c r="G27" i="35"/>
  <c r="G20"/>
  <c r="I12" i="5"/>
  <c r="I13"/>
  <c r="H28"/>
  <c r="G11" i="36"/>
  <c r="E23" i="23"/>
  <c r="J16" i="37"/>
  <c r="G23" i="4"/>
  <c r="G18" i="36"/>
  <c r="G30" i="4"/>
  <c r="K33" i="12"/>
  <c r="L31"/>
  <c r="K59"/>
  <c r="I90" i="22"/>
  <c r="L55" i="12"/>
  <c r="H46" i="23"/>
  <c r="I22" i="29"/>
  <c r="H28"/>
  <c r="F113" i="22"/>
  <c r="H129" i="12"/>
  <c r="H156"/>
  <c r="I91"/>
  <c r="V18" i="35"/>
  <c r="U17"/>
  <c r="U17" i="36"/>
  <c r="U16"/>
  <c r="AE91" i="22"/>
  <c r="AB89" i="12"/>
  <c r="O87"/>
  <c r="P86"/>
  <c r="H130"/>
  <c r="H157"/>
  <c r="H93"/>
  <c r="F138" i="22"/>
  <c r="E130" i="12"/>
  <c r="E157"/>
  <c r="C138" i="22"/>
  <c r="E93" i="12"/>
  <c r="F130"/>
  <c r="F157"/>
  <c r="F93"/>
  <c r="D138" i="22"/>
  <c r="B8" i="40"/>
  <c r="B9"/>
  <c r="C7"/>
  <c r="O49" i="12"/>
  <c r="O81"/>
  <c r="P48"/>
  <c r="O128"/>
  <c r="O155"/>
  <c r="M112" i="22"/>
  <c r="P90" i="12"/>
  <c r="B138" i="22"/>
  <c r="D130" i="12"/>
  <c r="D157"/>
  <c r="G130"/>
  <c r="G157"/>
  <c r="E138" i="22"/>
  <c r="G93" i="12"/>
  <c r="H12" i="6"/>
  <c r="H13"/>
  <c r="G28"/>
  <c r="H12" i="35"/>
  <c r="G28"/>
  <c r="H15" i="28"/>
  <c r="H16"/>
  <c r="H12"/>
  <c r="H13"/>
  <c r="H19"/>
  <c r="G28"/>
  <c r="G24" i="36"/>
  <c r="G19"/>
  <c r="H11"/>
  <c r="G23" i="23"/>
  <c r="E24"/>
  <c r="I19" i="5"/>
  <c r="H14" i="4"/>
  <c r="H15"/>
  <c r="G31"/>
  <c r="H20" i="28"/>
  <c r="H27"/>
  <c r="I129" i="12"/>
  <c r="I156"/>
  <c r="J91"/>
  <c r="G113" i="22"/>
  <c r="I92" i="12"/>
  <c r="J22" i="29"/>
  <c r="I28"/>
  <c r="L59" i="12"/>
  <c r="J90" i="22"/>
  <c r="M55" i="12"/>
  <c r="AF91" i="22"/>
  <c r="AC89" i="12"/>
  <c r="W18" i="35"/>
  <c r="V17"/>
  <c r="V17" i="36"/>
  <c r="V16"/>
  <c r="M31" i="12"/>
  <c r="L33"/>
  <c r="P81"/>
  <c r="O82"/>
  <c r="K12" i="40"/>
  <c r="K11"/>
  <c r="K13"/>
  <c r="C5"/>
  <c r="C6"/>
  <c r="H19" i="6"/>
  <c r="H13" i="35"/>
  <c r="H19"/>
  <c r="I12" i="28"/>
  <c r="I13"/>
  <c r="H28"/>
  <c r="G24" i="23"/>
  <c r="E25"/>
  <c r="G25"/>
  <c r="H25"/>
  <c r="H12" i="36"/>
  <c r="H22" i="4"/>
  <c r="I20" i="5"/>
  <c r="I27"/>
  <c r="M33" i="12"/>
  <c r="N31"/>
  <c r="AG91" i="22"/>
  <c r="AD89" i="12"/>
  <c r="M59"/>
  <c r="K90" i="22"/>
  <c r="N55" i="12"/>
  <c r="K22" i="29"/>
  <c r="J28"/>
  <c r="X18" i="35"/>
  <c r="W17"/>
  <c r="W17" i="36"/>
  <c r="W16"/>
  <c r="I130" i="12"/>
  <c r="I157"/>
  <c r="G138" i="22"/>
  <c r="I93" i="12"/>
  <c r="J129"/>
  <c r="J156"/>
  <c r="K91"/>
  <c r="H113" i="22"/>
  <c r="J92" i="12"/>
  <c r="K14" i="40"/>
  <c r="H20" i="6"/>
  <c r="H27"/>
  <c r="H27" i="35"/>
  <c r="H20"/>
  <c r="J12" i="5"/>
  <c r="J13"/>
  <c r="I28"/>
  <c r="I19" i="28"/>
  <c r="H23" i="4"/>
  <c r="H30"/>
  <c r="H18" i="36"/>
  <c r="J93" i="12"/>
  <c r="H138" i="22"/>
  <c r="J130" i="12"/>
  <c r="J157"/>
  <c r="K129"/>
  <c r="K156"/>
  <c r="I113" i="22"/>
  <c r="L91" i="12"/>
  <c r="K92"/>
  <c r="L90" i="22"/>
  <c r="N59" i="12"/>
  <c r="O55"/>
  <c r="Y18" i="35"/>
  <c r="X17"/>
  <c r="X17" i="36"/>
  <c r="X16"/>
  <c r="L22" i="29"/>
  <c r="K28"/>
  <c r="AH91" i="22"/>
  <c r="AE89" i="12"/>
  <c r="N33"/>
  <c r="O31"/>
  <c r="O33"/>
  <c r="H28" i="6"/>
  <c r="I12"/>
  <c r="I13"/>
  <c r="I12" i="35"/>
  <c r="H28"/>
  <c r="I14" i="4"/>
  <c r="I15"/>
  <c r="H31"/>
  <c r="I20" i="28"/>
  <c r="I27"/>
  <c r="J19" i="5"/>
  <c r="H24" i="36"/>
  <c r="H19"/>
  <c r="I11"/>
  <c r="L28" i="29"/>
  <c r="M22"/>
  <c r="M90" i="22"/>
  <c r="O59" i="12"/>
  <c r="M91"/>
  <c r="L129"/>
  <c r="L156"/>
  <c r="J113" i="22"/>
  <c r="L92" i="12"/>
  <c r="AI91" i="22"/>
  <c r="AF89" i="12"/>
  <c r="AJ91" i="22"/>
  <c r="Z18" i="35"/>
  <c r="Y17"/>
  <c r="Y17" i="36"/>
  <c r="Y16"/>
  <c r="K130" i="12"/>
  <c r="K157"/>
  <c r="K93"/>
  <c r="I138" i="22"/>
  <c r="I19" i="6"/>
  <c r="I13" i="35"/>
  <c r="I19"/>
  <c r="J20" i="5"/>
  <c r="J27"/>
  <c r="J12" i="28"/>
  <c r="J13"/>
  <c r="I28"/>
  <c r="I22" i="4"/>
  <c r="L93" i="12"/>
  <c r="J138" i="22"/>
  <c r="L130" i="12"/>
  <c r="L157"/>
  <c r="N22" i="29"/>
  <c r="N28"/>
  <c r="M28"/>
  <c r="AA18" i="35"/>
  <c r="Z17"/>
  <c r="Z17" i="36"/>
  <c r="Z16"/>
  <c r="N91" i="12"/>
  <c r="M129"/>
  <c r="M156"/>
  <c r="K113" i="22"/>
  <c r="M92" i="12"/>
  <c r="I20" i="35"/>
  <c r="I27"/>
  <c r="I27" i="6"/>
  <c r="I20"/>
  <c r="I12" i="36"/>
  <c r="K12" i="5"/>
  <c r="K13"/>
  <c r="J28"/>
  <c r="I23" i="4"/>
  <c r="I18" i="36"/>
  <c r="I30" i="4"/>
  <c r="J19" i="28"/>
  <c r="L113" i="22"/>
  <c r="N129" i="12"/>
  <c r="N156"/>
  <c r="N92"/>
  <c r="O91"/>
  <c r="M130"/>
  <c r="M157"/>
  <c r="M93"/>
  <c r="K138" i="22"/>
  <c r="AB18" i="35"/>
  <c r="AA17"/>
  <c r="AA17" i="36"/>
  <c r="AA16"/>
  <c r="I28" i="6"/>
  <c r="J12"/>
  <c r="J13"/>
  <c r="I28" i="35"/>
  <c r="J12"/>
  <c r="K19" i="5"/>
  <c r="J20" i="28"/>
  <c r="J27"/>
  <c r="I19" i="36"/>
  <c r="J11"/>
  <c r="I24"/>
  <c r="J14" i="4"/>
  <c r="J15"/>
  <c r="I31"/>
  <c r="L138" i="22"/>
  <c r="N130" i="12"/>
  <c r="N157"/>
  <c r="N93"/>
  <c r="AC18" i="35"/>
  <c r="AB17"/>
  <c r="AB17" i="36"/>
  <c r="AB16"/>
  <c r="M113" i="22"/>
  <c r="U91" i="12"/>
  <c r="O129"/>
  <c r="O156"/>
  <c r="E28" i="23"/>
  <c r="E29"/>
  <c r="O92" i="12"/>
  <c r="J19" i="6"/>
  <c r="J13" i="35"/>
  <c r="J19"/>
  <c r="K12" i="28"/>
  <c r="K13"/>
  <c r="J28"/>
  <c r="J22" i="4"/>
  <c r="K20" i="5"/>
  <c r="K27"/>
  <c r="O130" i="12"/>
  <c r="O157"/>
  <c r="O93"/>
  <c r="M138" i="22"/>
  <c r="V91" i="12"/>
  <c r="D137"/>
  <c r="D164"/>
  <c r="Y113" i="22"/>
  <c r="AD18" i="35"/>
  <c r="AC17"/>
  <c r="AC17" i="36"/>
  <c r="AC16"/>
  <c r="J27" i="35"/>
  <c r="J20"/>
  <c r="J20" i="6"/>
  <c r="J27"/>
  <c r="J12" i="36"/>
  <c r="K19" i="28"/>
  <c r="L12" i="5"/>
  <c r="L13"/>
  <c r="K28"/>
  <c r="J23" i="4"/>
  <c r="J30"/>
  <c r="J18" i="36"/>
  <c r="AD17" i="35"/>
  <c r="AD17" i="36"/>
  <c r="AD16"/>
  <c r="AE18" i="35"/>
  <c r="Z113" i="22"/>
  <c r="E137" i="12"/>
  <c r="E164"/>
  <c r="W91"/>
  <c r="K12" i="6"/>
  <c r="K13"/>
  <c r="J28"/>
  <c r="J28" i="35"/>
  <c r="K12"/>
  <c r="J19" i="36"/>
  <c r="K11"/>
  <c r="J24"/>
  <c r="K14" i="4"/>
  <c r="K15"/>
  <c r="J31"/>
  <c r="L19" i="5"/>
  <c r="K20" i="28"/>
  <c r="K27"/>
  <c r="AF18" i="35"/>
  <c r="AE17" i="36"/>
  <c r="AE16"/>
  <c r="AE17" i="35"/>
  <c r="F137" i="12"/>
  <c r="F164"/>
  <c r="X91"/>
  <c r="AA113" i="22"/>
  <c r="K19" i="6"/>
  <c r="K13" i="35"/>
  <c r="K19"/>
  <c r="L12" i="28"/>
  <c r="L13"/>
  <c r="K28"/>
  <c r="M19" i="5"/>
  <c r="L20"/>
  <c r="L28"/>
  <c r="L27"/>
  <c r="K12" i="36"/>
  <c r="D13" i="40"/>
  <c r="K22" i="4"/>
  <c r="G137" i="12"/>
  <c r="G164"/>
  <c r="AB113" i="22"/>
  <c r="AG18" i="35"/>
  <c r="AF17"/>
  <c r="AF17" i="36"/>
  <c r="AF16"/>
  <c r="K27" i="6"/>
  <c r="K20"/>
  <c r="K20" i="35"/>
  <c r="K27"/>
  <c r="K23" i="4"/>
  <c r="K30"/>
  <c r="K18" i="36"/>
  <c r="M20" i="5"/>
  <c r="M28"/>
  <c r="N19"/>
  <c r="M27"/>
  <c r="L19" i="28"/>
  <c r="B13" i="40"/>
  <c r="D12"/>
  <c r="AG17" i="35"/>
  <c r="AH18"/>
  <c r="AG17" i="36"/>
  <c r="AG16"/>
  <c r="K28" i="35"/>
  <c r="L12"/>
  <c r="L12" i="6"/>
  <c r="L13"/>
  <c r="K28"/>
  <c r="B12" i="40"/>
  <c r="D14"/>
  <c r="E12"/>
  <c r="M19" i="28"/>
  <c r="L20"/>
  <c r="L28"/>
  <c r="L27"/>
  <c r="L14" i="4"/>
  <c r="L15"/>
  <c r="K31"/>
  <c r="N20" i="5"/>
  <c r="N28"/>
  <c r="N27"/>
  <c r="O19"/>
  <c r="K19" i="36"/>
  <c r="K24"/>
  <c r="AH17" i="35"/>
  <c r="AH17" i="36"/>
  <c r="AH16"/>
  <c r="AI18" i="35"/>
  <c r="L19" i="6"/>
  <c r="L13" i="35"/>
  <c r="L19"/>
  <c r="M20" i="28"/>
  <c r="M28"/>
  <c r="N19"/>
  <c r="M27"/>
  <c r="P19" i="5"/>
  <c r="O20"/>
  <c r="L12" i="36"/>
  <c r="L22" i="4"/>
  <c r="B14" i="40"/>
  <c r="E11"/>
  <c r="E13"/>
  <c r="AJ18" i="35"/>
  <c r="AI17"/>
  <c r="AI17" i="36"/>
  <c r="AI16"/>
  <c r="L20" i="35"/>
  <c r="L28"/>
  <c r="M19"/>
  <c r="L27"/>
  <c r="L20" i="6"/>
  <c r="L27"/>
  <c r="Q19" i="5"/>
  <c r="P20"/>
  <c r="M22" i="4"/>
  <c r="L23"/>
  <c r="L31"/>
  <c r="L30"/>
  <c r="L18" i="36"/>
  <c r="N20" i="28"/>
  <c r="N28"/>
  <c r="N27"/>
  <c r="O19"/>
  <c r="AK18" i="35"/>
  <c r="AJ17"/>
  <c r="AJ17" i="36"/>
  <c r="AJ16"/>
  <c r="L28" i="6"/>
  <c r="M12"/>
  <c r="M13"/>
  <c r="M19"/>
  <c r="N19" i="35"/>
  <c r="M27"/>
  <c r="M20"/>
  <c r="M28"/>
  <c r="P19" i="28"/>
  <c r="O20"/>
  <c r="M18" i="36"/>
  <c r="N22" i="4"/>
  <c r="M30"/>
  <c r="M23"/>
  <c r="M31"/>
  <c r="R19" i="5"/>
  <c r="Q20"/>
  <c r="L24" i="36"/>
  <c r="L19"/>
  <c r="AL18" i="35"/>
  <c r="AK17" i="36"/>
  <c r="AK16"/>
  <c r="AK17" i="35"/>
  <c r="M20" i="6"/>
  <c r="M27"/>
  <c r="O19" i="35"/>
  <c r="N20"/>
  <c r="N28"/>
  <c r="N27"/>
  <c r="S19" i="5"/>
  <c r="R20"/>
  <c r="M24" i="36"/>
  <c r="M19"/>
  <c r="Q19" i="28"/>
  <c r="P20"/>
  <c r="N23" i="4"/>
  <c r="N31"/>
  <c r="N30"/>
  <c r="N18" i="36"/>
  <c r="O22" i="4"/>
  <c r="AL17" i="35"/>
  <c r="AL17" i="36"/>
  <c r="AL16"/>
  <c r="P19" i="35"/>
  <c r="O20"/>
  <c r="N12" i="6"/>
  <c r="N13"/>
  <c r="N19"/>
  <c r="M28"/>
  <c r="N24" i="36"/>
  <c r="N19"/>
  <c r="R19" i="28"/>
  <c r="Q20"/>
  <c r="S20" i="5"/>
  <c r="T12"/>
  <c r="T13"/>
  <c r="T19"/>
  <c r="P22" i="4"/>
  <c r="O18" i="36"/>
  <c r="O19"/>
  <c r="O23" i="4"/>
  <c r="N20" i="6"/>
  <c r="N28"/>
  <c r="O19"/>
  <c r="N27"/>
  <c r="P20" i="35"/>
  <c r="Q19"/>
  <c r="Q22" i="4"/>
  <c r="P18" i="36"/>
  <c r="P19"/>
  <c r="P23" i="4"/>
  <c r="R20" i="28"/>
  <c r="S12"/>
  <c r="S13"/>
  <c r="S19"/>
  <c r="T20" i="5"/>
  <c r="U12"/>
  <c r="U13"/>
  <c r="U19"/>
  <c r="Q20" i="35"/>
  <c r="R19"/>
  <c r="R20"/>
  <c r="S12"/>
  <c r="S13"/>
  <c r="S12" i="36"/>
  <c r="Y21" i="12"/>
  <c r="O20" i="6"/>
  <c r="P19"/>
  <c r="U20" i="5"/>
  <c r="V12"/>
  <c r="V13"/>
  <c r="V19"/>
  <c r="S20" i="28"/>
  <c r="T12"/>
  <c r="T13"/>
  <c r="R22" i="4"/>
  <c r="Q18" i="36"/>
  <c r="Q19"/>
  <c r="Q23" i="4"/>
  <c r="S19" i="35"/>
  <c r="Y35" i="12"/>
  <c r="Y25"/>
  <c r="Y103"/>
  <c r="Y108"/>
  <c r="Q19" i="6"/>
  <c r="P20"/>
  <c r="R18" i="36"/>
  <c r="R19"/>
  <c r="S22" i="4"/>
  <c r="R23"/>
  <c r="Y36" i="12"/>
  <c r="Y113"/>
  <c r="Y54"/>
  <c r="Y28"/>
  <c r="Y32"/>
  <c r="Y27"/>
  <c r="S20" i="35"/>
  <c r="T12"/>
  <c r="V20" i="5"/>
  <c r="W12"/>
  <c r="W13"/>
  <c r="W19"/>
  <c r="T19" i="28"/>
  <c r="Q20" i="6"/>
  <c r="R19"/>
  <c r="R20"/>
  <c r="S12"/>
  <c r="S13"/>
  <c r="S19"/>
  <c r="S20"/>
  <c r="T12"/>
  <c r="T13"/>
  <c r="Y33" i="12"/>
  <c r="Y58"/>
  <c r="Y90"/>
  <c r="Y61"/>
  <c r="Y55"/>
  <c r="AC59" i="22"/>
  <c r="Y114" i="12"/>
  <c r="Y115"/>
  <c r="G31" i="37"/>
  <c r="S11" i="36"/>
  <c r="T20" i="28"/>
  <c r="U12"/>
  <c r="U13"/>
  <c r="X19" i="5"/>
  <c r="W20"/>
  <c r="Y47" i="12"/>
  <c r="AC9" i="22"/>
  <c r="Y51" i="12"/>
  <c r="Y52"/>
  <c r="Y39"/>
  <c r="AC6" i="22"/>
  <c r="AC4"/>
  <c r="S23" i="4"/>
  <c r="T14"/>
  <c r="T15"/>
  <c r="S18" i="36"/>
  <c r="S19"/>
  <c r="T11"/>
  <c r="T19" i="6"/>
  <c r="T20"/>
  <c r="U12"/>
  <c r="U13"/>
  <c r="U19"/>
  <c r="U20"/>
  <c r="V12"/>
  <c r="V13"/>
  <c r="V19"/>
  <c r="T13" i="35"/>
  <c r="T19"/>
  <c r="T20"/>
  <c r="U12"/>
  <c r="U13"/>
  <c r="U19"/>
  <c r="U20"/>
  <c r="V12"/>
  <c r="Y19" i="5"/>
  <c r="X20"/>
  <c r="Y116" i="12"/>
  <c r="Y117"/>
  <c r="Y59"/>
  <c r="AC90" i="22"/>
  <c r="H136" i="12"/>
  <c r="H163"/>
  <c r="AC112" i="22"/>
  <c r="Y91" i="12"/>
  <c r="T22" i="4"/>
  <c r="U19" i="28"/>
  <c r="Y86" i="12"/>
  <c r="Y53"/>
  <c r="Y48"/>
  <c r="G35" i="37"/>
  <c r="I35"/>
  <c r="I31"/>
  <c r="J31"/>
  <c r="Y62" i="12"/>
  <c r="V20" i="6"/>
  <c r="W12"/>
  <c r="W13"/>
  <c r="W19"/>
  <c r="T12" i="36"/>
  <c r="Z21" i="12"/>
  <c r="T23" i="4"/>
  <c r="U14"/>
  <c r="U15"/>
  <c r="U12" i="36"/>
  <c r="AA21" i="12"/>
  <c r="T18" i="36"/>
  <c r="T19"/>
  <c r="U11"/>
  <c r="Z19" i="5"/>
  <c r="Y20"/>
  <c r="I23" i="23"/>
  <c r="J35" i="37"/>
  <c r="Y49" i="12"/>
  <c r="Y81"/>
  <c r="Y87"/>
  <c r="U20" i="28"/>
  <c r="V12"/>
  <c r="V13"/>
  <c r="V13" i="35"/>
  <c r="V19"/>
  <c r="H137" i="12"/>
  <c r="H164"/>
  <c r="AC113" i="22"/>
  <c r="W20" i="6"/>
  <c r="X19"/>
  <c r="Z25" i="12"/>
  <c r="Z35"/>
  <c r="Z103"/>
  <c r="Z108"/>
  <c r="U22" i="4"/>
  <c r="Y82" i="12"/>
  <c r="AA35"/>
  <c r="AA25"/>
  <c r="AA103"/>
  <c r="AA108"/>
  <c r="V20" i="35"/>
  <c r="W12"/>
  <c r="I24" i="23"/>
  <c r="K24"/>
  <c r="K23"/>
  <c r="AA19" i="5"/>
  <c r="Z20"/>
  <c r="U23" i="4"/>
  <c r="V14"/>
  <c r="V15"/>
  <c r="V12" i="36"/>
  <c r="AB21" i="12"/>
  <c r="V19" i="28"/>
  <c r="V22" i="4"/>
  <c r="Z36" i="12"/>
  <c r="Z113"/>
  <c r="Z54"/>
  <c r="X20" i="6"/>
  <c r="Y19"/>
  <c r="Z28" i="12"/>
  <c r="Z32"/>
  <c r="Z27"/>
  <c r="U18" i="36"/>
  <c r="U19"/>
  <c r="V11"/>
  <c r="V20" i="28"/>
  <c r="W12"/>
  <c r="W13"/>
  <c r="W13" i="35"/>
  <c r="W19"/>
  <c r="AB35" i="12"/>
  <c r="AB25"/>
  <c r="AB103"/>
  <c r="AB108"/>
  <c r="AA28"/>
  <c r="AA32"/>
  <c r="V23" i="4"/>
  <c r="W14"/>
  <c r="W15"/>
  <c r="W22"/>
  <c r="V18" i="36"/>
  <c r="V19"/>
  <c r="W11"/>
  <c r="AB19" i="5"/>
  <c r="AA20"/>
  <c r="AA54" i="12"/>
  <c r="AA36"/>
  <c r="AA113"/>
  <c r="AA27"/>
  <c r="AA33"/>
  <c r="Z33"/>
  <c r="Z115"/>
  <c r="Z114"/>
  <c r="Z19" i="6"/>
  <c r="Y20"/>
  <c r="Z58" i="12"/>
  <c r="Z90"/>
  <c r="AD59" i="22"/>
  <c r="Z61" i="12"/>
  <c r="Z62"/>
  <c r="Z55"/>
  <c r="Z51"/>
  <c r="Z52"/>
  <c r="AD4" i="22"/>
  <c r="Z39" i="12"/>
  <c r="AD6" i="22"/>
  <c r="Z47" i="12"/>
  <c r="AD9" i="22"/>
  <c r="AB27" i="12"/>
  <c r="W12" i="36"/>
  <c r="AC21" i="12"/>
  <c r="AC35"/>
  <c r="AB33"/>
  <c r="AA47"/>
  <c r="AE9" i="22"/>
  <c r="AE4"/>
  <c r="AA39" i="12"/>
  <c r="AE6" i="22"/>
  <c r="AA51" i="12"/>
  <c r="AA52"/>
  <c r="AC25"/>
  <c r="AC27"/>
  <c r="AB36"/>
  <c r="AB113"/>
  <c r="AB54"/>
  <c r="W19" i="28"/>
  <c r="AA115" i="12"/>
  <c r="AA114"/>
  <c r="AA61"/>
  <c r="AE59" i="22"/>
  <c r="AA58" i="12"/>
  <c r="AA90"/>
  <c r="AA55"/>
  <c r="AC19" i="5"/>
  <c r="AB20"/>
  <c r="X22" i="4"/>
  <c r="W18" i="36"/>
  <c r="W19"/>
  <c r="W23" i="4"/>
  <c r="AB32" i="12"/>
  <c r="AB28"/>
  <c r="X19" i="35"/>
  <c r="W20"/>
  <c r="AA62" i="12"/>
  <c r="Z48"/>
  <c r="Z86"/>
  <c r="Z87"/>
  <c r="Z53"/>
  <c r="AA53"/>
  <c r="I136"/>
  <c r="I163"/>
  <c r="Z91"/>
  <c r="AD112" i="22"/>
  <c r="Z20" i="6"/>
  <c r="AA19"/>
  <c r="Z116" i="12"/>
  <c r="Z117"/>
  <c r="AA91"/>
  <c r="J137"/>
  <c r="J164"/>
  <c r="AG21"/>
  <c r="AG103"/>
  <c r="AG108"/>
  <c r="AC103"/>
  <c r="AC108"/>
  <c r="Z59"/>
  <c r="AD90" i="22"/>
  <c r="AD27" i="12"/>
  <c r="AC33"/>
  <c r="Y19" i="35"/>
  <c r="X20"/>
  <c r="Y22" i="4"/>
  <c r="X18" i="36"/>
  <c r="X19"/>
  <c r="X23" i="4"/>
  <c r="AD19" i="5"/>
  <c r="AC20"/>
  <c r="AA59" i="12"/>
  <c r="AE90" i="22"/>
  <c r="X19" i="28"/>
  <c r="W20"/>
  <c r="AB58" i="12"/>
  <c r="AB90"/>
  <c r="AB55"/>
  <c r="AF59" i="22"/>
  <c r="AB61" i="12"/>
  <c r="AB114"/>
  <c r="AB115"/>
  <c r="AC113"/>
  <c r="AC54"/>
  <c r="AC36"/>
  <c r="AG35"/>
  <c r="AB62"/>
  <c r="J136"/>
  <c r="J163"/>
  <c r="AE112" i="22"/>
  <c r="AA116" i="12"/>
  <c r="AA117"/>
  <c r="AB51"/>
  <c r="AB52"/>
  <c r="AB39"/>
  <c r="AF6" i="22"/>
  <c r="AB47" i="12"/>
  <c r="AF9" i="22"/>
  <c r="AF4"/>
  <c r="AC32" i="12"/>
  <c r="AG32"/>
  <c r="AC28"/>
  <c r="AG25"/>
  <c r="AA86"/>
  <c r="AA48"/>
  <c r="AB53"/>
  <c r="AE113" i="22"/>
  <c r="I137" i="12"/>
  <c r="I164"/>
  <c r="AD113" i="22"/>
  <c r="Z49" i="12"/>
  <c r="Z81"/>
  <c r="Z82"/>
  <c r="AB19" i="6"/>
  <c r="AA20"/>
  <c r="AA49" i="12"/>
  <c r="I11" i="23"/>
  <c r="K11"/>
  <c r="AG28" i="12"/>
  <c r="AB86"/>
  <c r="AB48"/>
  <c r="AB81"/>
  <c r="AC58"/>
  <c r="AC90"/>
  <c r="AC55"/>
  <c r="AC61"/>
  <c r="AG61"/>
  <c r="AG59" i="22"/>
  <c r="AG54" i="12"/>
  <c r="AB117"/>
  <c r="AB116"/>
  <c r="AB59"/>
  <c r="AF90" i="22"/>
  <c r="Z22" i="4"/>
  <c r="Y18" i="36"/>
  <c r="Y19"/>
  <c r="Y23" i="4"/>
  <c r="Z19" i="35"/>
  <c r="Y20"/>
  <c r="AE27" i="12"/>
  <c r="AD33"/>
  <c r="AA87"/>
  <c r="AB87"/>
  <c r="AC62"/>
  <c r="AD62"/>
  <c r="AE62"/>
  <c r="AF62"/>
  <c r="AA81"/>
  <c r="I12" i="23"/>
  <c r="AG113" i="12"/>
  <c r="AG115"/>
  <c r="AG36"/>
  <c r="AC47"/>
  <c r="AG9" i="22"/>
  <c r="AC51" i="12"/>
  <c r="AC52"/>
  <c r="AC39"/>
  <c r="AG6" i="22"/>
  <c r="AG4"/>
  <c r="AC114" i="12"/>
  <c r="AC115"/>
  <c r="K136"/>
  <c r="K163"/>
  <c r="AF112" i="22"/>
  <c r="Y19" i="28"/>
  <c r="X20"/>
  <c r="AE19" i="5"/>
  <c r="AD20"/>
  <c r="AB91" i="12"/>
  <c r="AC19" i="6"/>
  <c r="AB20"/>
  <c r="K137" i="12"/>
  <c r="K164"/>
  <c r="AC91"/>
  <c r="AF113" i="22"/>
  <c r="AB92" i="12"/>
  <c r="Z19" i="28"/>
  <c r="Y20"/>
  <c r="AC116" i="12"/>
  <c r="AC117"/>
  <c r="AC86"/>
  <c r="AG86"/>
  <c r="AC48"/>
  <c r="AG52"/>
  <c r="AG47"/>
  <c r="AK9" i="22"/>
  <c r="AG39" i="12"/>
  <c r="AK6" i="22"/>
  <c r="AG51" i="12"/>
  <c r="AK4" i="22"/>
  <c r="K12" i="23"/>
  <c r="L12"/>
  <c r="I25"/>
  <c r="K25"/>
  <c r="L25"/>
  <c r="AA22" i="4"/>
  <c r="Z18" i="36"/>
  <c r="Z19"/>
  <c r="Z23" i="4"/>
  <c r="AC59" i="12"/>
  <c r="AG90" i="22"/>
  <c r="AD55" i="12"/>
  <c r="AA82"/>
  <c r="AB82"/>
  <c r="AB49"/>
  <c r="AC49"/>
  <c r="AD49"/>
  <c r="AE49"/>
  <c r="AF49"/>
  <c r="AE20" i="5"/>
  <c r="AF12"/>
  <c r="AF13"/>
  <c r="AG116" i="12"/>
  <c r="AG117"/>
  <c r="AF27"/>
  <c r="AF33"/>
  <c r="AE33"/>
  <c r="AA19" i="35"/>
  <c r="Z20"/>
  <c r="U92" i="12"/>
  <c r="W92"/>
  <c r="V92"/>
  <c r="X92"/>
  <c r="Y92"/>
  <c r="Z92"/>
  <c r="AA92"/>
  <c r="L136"/>
  <c r="L163"/>
  <c r="AG112" i="22"/>
  <c r="AG90" i="12"/>
  <c r="AG91"/>
  <c r="AC87"/>
  <c r="AD87"/>
  <c r="AE87"/>
  <c r="AF87"/>
  <c r="AC53"/>
  <c r="AD53"/>
  <c r="AE53"/>
  <c r="AF53"/>
  <c r="AD19" i="6"/>
  <c r="AD20"/>
  <c r="AE12"/>
  <c r="AE13"/>
  <c r="AE19"/>
  <c r="AC20"/>
  <c r="J138" i="12"/>
  <c r="J165"/>
  <c r="AE138" i="22"/>
  <c r="AA93" i="12"/>
  <c r="E138"/>
  <c r="E165"/>
  <c r="V93"/>
  <c r="Z138" i="22"/>
  <c r="AB19" i="35"/>
  <c r="AA20"/>
  <c r="AH90" i="22"/>
  <c r="AD59" i="12"/>
  <c r="AE55"/>
  <c r="AA19" i="28"/>
  <c r="Z20"/>
  <c r="AC138" i="22"/>
  <c r="H138" i="12"/>
  <c r="H165"/>
  <c r="Y93"/>
  <c r="Y138" i="22"/>
  <c r="D138" i="12"/>
  <c r="D165"/>
  <c r="U93"/>
  <c r="I138"/>
  <c r="I165"/>
  <c r="Z93"/>
  <c r="AD138" i="22"/>
  <c r="G138" i="12"/>
  <c r="G165"/>
  <c r="AB138" i="22"/>
  <c r="X93" i="12"/>
  <c r="F138"/>
  <c r="F165"/>
  <c r="W93"/>
  <c r="AA138" i="22"/>
  <c r="AB22" i="4"/>
  <c r="AA18" i="36"/>
  <c r="AA19"/>
  <c r="AA23" i="4"/>
  <c r="AC81" i="12"/>
  <c r="AG81"/>
  <c r="AG48"/>
  <c r="K138"/>
  <c r="K165"/>
  <c r="AF138" i="22"/>
  <c r="AB93" i="12"/>
  <c r="AG113" i="22"/>
  <c r="L137" i="12"/>
  <c r="L164"/>
  <c r="AD91"/>
  <c r="AC92"/>
  <c r="AF19" i="5"/>
  <c r="AE20" i="6"/>
  <c r="AF12"/>
  <c r="AF13"/>
  <c r="AF19"/>
  <c r="AF20"/>
  <c r="AG12"/>
  <c r="AG13"/>
  <c r="AG19"/>
  <c r="AG20"/>
  <c r="AH12"/>
  <c r="AH13"/>
  <c r="AH19"/>
  <c r="AH20"/>
  <c r="AI12"/>
  <c r="AI13"/>
  <c r="AI19"/>
  <c r="AF20" i="5"/>
  <c r="AG12"/>
  <c r="AG13"/>
  <c r="AG19"/>
  <c r="AD92" i="12"/>
  <c r="AH113" i="22"/>
  <c r="M137" i="12"/>
  <c r="M164"/>
  <c r="AE91"/>
  <c r="AC22" i="4"/>
  <c r="AB18" i="36"/>
  <c r="AB19"/>
  <c r="AB23" i="4"/>
  <c r="AE59" i="12"/>
  <c r="AI90" i="22"/>
  <c r="AF55" i="12"/>
  <c r="AC19" i="35"/>
  <c r="AB20"/>
  <c r="AC82" i="12"/>
  <c r="AD82"/>
  <c r="AE82"/>
  <c r="AF82"/>
  <c r="AG138" i="22"/>
  <c r="L138" i="12"/>
  <c r="L165"/>
  <c r="AC93"/>
  <c r="AB19" i="28"/>
  <c r="AA20"/>
  <c r="AJ19" i="6"/>
  <c r="AI20"/>
  <c r="AC19" i="28"/>
  <c r="AB20"/>
  <c r="AD19" i="35"/>
  <c r="AC20"/>
  <c r="AD22" i="4"/>
  <c r="AC18" i="36"/>
  <c r="AC19"/>
  <c r="AC23" i="4"/>
  <c r="AD93" i="12"/>
  <c r="M138"/>
  <c r="M165"/>
  <c r="AH138" i="22"/>
  <c r="AF59" i="12"/>
  <c r="AJ90" i="22"/>
  <c r="AI113"/>
  <c r="N137" i="12"/>
  <c r="N164"/>
  <c r="AE92"/>
  <c r="AF91"/>
  <c r="AG20" i="5"/>
  <c r="AH12"/>
  <c r="AH13"/>
  <c r="AH19"/>
  <c r="AK19" i="6"/>
  <c r="AJ20"/>
  <c r="AH20" i="5"/>
  <c r="AI12"/>
  <c r="AI13"/>
  <c r="AI19"/>
  <c r="I28" i="23"/>
  <c r="I29"/>
  <c r="AK91" i="12"/>
  <c r="O137"/>
  <c r="O164"/>
  <c r="AF92"/>
  <c r="AJ113" i="22"/>
  <c r="AE22" i="4"/>
  <c r="AD18" i="36"/>
  <c r="AD19"/>
  <c r="AD23" i="4"/>
  <c r="AD20" i="35"/>
  <c r="AE12"/>
  <c r="AE13"/>
  <c r="AE12" i="36"/>
  <c r="AO21" i="12"/>
  <c r="AD19" i="28"/>
  <c r="AC20"/>
  <c r="AI138" i="22"/>
  <c r="AE93" i="12"/>
  <c r="N138"/>
  <c r="N165"/>
  <c r="AK20" i="6"/>
  <c r="AL19"/>
  <c r="AL20"/>
  <c r="AO25" i="12"/>
  <c r="AO35"/>
  <c r="AO103"/>
  <c r="AO108"/>
  <c r="AE11" i="36"/>
  <c r="G50" i="37"/>
  <c r="AD20" i="28"/>
  <c r="AE12"/>
  <c r="AE13"/>
  <c r="AE19"/>
  <c r="AE23" i="4"/>
  <c r="AF14"/>
  <c r="AF15"/>
  <c r="AF22"/>
  <c r="AF93" i="12"/>
  <c r="O138"/>
  <c r="O165"/>
  <c r="AJ138" i="22"/>
  <c r="AO113"/>
  <c r="AL91" i="12"/>
  <c r="D145"/>
  <c r="D172"/>
  <c r="AJ19" i="5"/>
  <c r="AI20"/>
  <c r="AE19" i="35"/>
  <c r="AK19" i="5"/>
  <c r="AJ20"/>
  <c r="AM91" i="12"/>
  <c r="E145"/>
  <c r="E172"/>
  <c r="AP113" i="22"/>
  <c r="AF23" i="4"/>
  <c r="AG14"/>
  <c r="AG15"/>
  <c r="AG22"/>
  <c r="AE20" i="28"/>
  <c r="AF12"/>
  <c r="AF13"/>
  <c r="AF13" i="35"/>
  <c r="AF19"/>
  <c r="AO27" i="12"/>
  <c r="AO32"/>
  <c r="AO28"/>
  <c r="AE20" i="35"/>
  <c r="AF12"/>
  <c r="G54" i="37"/>
  <c r="I54"/>
  <c r="I50"/>
  <c r="J50"/>
  <c r="J54"/>
  <c r="AO113" i="12"/>
  <c r="AO54"/>
  <c r="AO36"/>
  <c r="AE18" i="36"/>
  <c r="AE19"/>
  <c r="AF11"/>
  <c r="AF12"/>
  <c r="AP21" i="12"/>
  <c r="AF19" i="28"/>
  <c r="AO39" i="12"/>
  <c r="AS6" i="22"/>
  <c r="AO51" i="12"/>
  <c r="AO52"/>
  <c r="AO47"/>
  <c r="AO115"/>
  <c r="AO114"/>
  <c r="AF20" i="35"/>
  <c r="AG12"/>
  <c r="AO33" i="12"/>
  <c r="AF20" i="28"/>
  <c r="AG12"/>
  <c r="AG13"/>
  <c r="AG13" i="35"/>
  <c r="AG19"/>
  <c r="AQ113" i="22"/>
  <c r="AN91" i="12"/>
  <c r="F145"/>
  <c r="F172"/>
  <c r="AL19" i="5"/>
  <c r="AL20"/>
  <c r="AK20"/>
  <c r="AF18" i="36"/>
  <c r="AF19"/>
  <c r="AG11"/>
  <c r="AG12"/>
  <c r="AQ21" i="12"/>
  <c r="AP25"/>
  <c r="AP27"/>
  <c r="AP35"/>
  <c r="AP103"/>
  <c r="AP108"/>
  <c r="AO55"/>
  <c r="AO61"/>
  <c r="AS59" i="22"/>
  <c r="AO58" i="12"/>
  <c r="AO90"/>
  <c r="AG23" i="4"/>
  <c r="AH14"/>
  <c r="AH15"/>
  <c r="AH22"/>
  <c r="AP33" i="12"/>
  <c r="AG20" i="35"/>
  <c r="AH12"/>
  <c r="AG18" i="36"/>
  <c r="AG19"/>
  <c r="AH11"/>
  <c r="AH23" i="4"/>
  <c r="AI14"/>
  <c r="AI15"/>
  <c r="AI22"/>
  <c r="AS112" i="22"/>
  <c r="H144" i="12"/>
  <c r="H171"/>
  <c r="AO62"/>
  <c r="AP54"/>
  <c r="AP36"/>
  <c r="AP113"/>
  <c r="AQ35"/>
  <c r="AQ25"/>
  <c r="AQ103"/>
  <c r="AQ108"/>
  <c r="AO91"/>
  <c r="G145"/>
  <c r="G172"/>
  <c r="AR113" i="22"/>
  <c r="AG19" i="28"/>
  <c r="AS90" i="22"/>
  <c r="AO59" i="12"/>
  <c r="AP28"/>
  <c r="AP32"/>
  <c r="AO116"/>
  <c r="AO117"/>
  <c r="AO86"/>
  <c r="AO53"/>
  <c r="AO48"/>
  <c r="AO87"/>
  <c r="AG20" i="28"/>
  <c r="AH12"/>
  <c r="AH13"/>
  <c r="AH13" i="35"/>
  <c r="AQ113" i="12"/>
  <c r="AQ54"/>
  <c r="AQ36"/>
  <c r="AP114"/>
  <c r="AP115"/>
  <c r="AO49"/>
  <c r="AO81"/>
  <c r="H145"/>
  <c r="H172"/>
  <c r="AS113" i="22"/>
  <c r="AQ32" i="12"/>
  <c r="AQ28"/>
  <c r="AP51"/>
  <c r="AP52"/>
  <c r="AP39"/>
  <c r="AT6" i="22"/>
  <c r="AP47" i="12"/>
  <c r="AP61"/>
  <c r="AT59" i="22"/>
  <c r="AP58" i="12"/>
  <c r="AP90"/>
  <c r="AP91"/>
  <c r="AP55"/>
  <c r="AI23" i="4"/>
  <c r="AJ22"/>
  <c r="AP62" i="12"/>
  <c r="AQ27"/>
  <c r="AH19" i="28"/>
  <c r="I145" i="12"/>
  <c r="I172"/>
  <c r="AT113" i="22"/>
  <c r="AK22" i="4"/>
  <c r="AJ23"/>
  <c r="AT90" i="22"/>
  <c r="AP59" i="12"/>
  <c r="AP86"/>
  <c r="AP48"/>
  <c r="AO82"/>
  <c r="AQ61"/>
  <c r="AQ58"/>
  <c r="AQ90"/>
  <c r="AQ55"/>
  <c r="AU59" i="22"/>
  <c r="AQ114" i="12"/>
  <c r="AQ115"/>
  <c r="AH19" i="35"/>
  <c r="AH12" i="36"/>
  <c r="AR21" i="12"/>
  <c r="AP53"/>
  <c r="AP87"/>
  <c r="AQ33"/>
  <c r="I144"/>
  <c r="I171"/>
  <c r="AT112" i="22"/>
  <c r="AP117" i="12"/>
  <c r="AP116"/>
  <c r="AQ51"/>
  <c r="AQ52"/>
  <c r="AQ39"/>
  <c r="AU6" i="22"/>
  <c r="AQ47" i="12"/>
  <c r="AH20" i="28"/>
  <c r="AI12"/>
  <c r="AI13"/>
  <c r="AI13" i="35"/>
  <c r="AI12" i="36"/>
  <c r="AS21" i="12"/>
  <c r="AI19" i="28"/>
  <c r="AQ62" i="12"/>
  <c r="AP49"/>
  <c r="AS35"/>
  <c r="AS25"/>
  <c r="AS103"/>
  <c r="AS108"/>
  <c r="AH20" i="35"/>
  <c r="AI12"/>
  <c r="AI19"/>
  <c r="AH18" i="36"/>
  <c r="AH19"/>
  <c r="AI11"/>
  <c r="AQ59" i="12"/>
  <c r="AU90" i="22"/>
  <c r="AP81" i="12"/>
  <c r="AL22" i="4"/>
  <c r="AK23"/>
  <c r="AQ53" i="12"/>
  <c r="AP82"/>
  <c r="AJ19" i="28"/>
  <c r="AI20"/>
  <c r="AQ86" i="12"/>
  <c r="AQ87"/>
  <c r="AQ48"/>
  <c r="AQ81"/>
  <c r="AR25"/>
  <c r="AR35"/>
  <c r="AR103"/>
  <c r="AR108"/>
  <c r="AW21"/>
  <c r="AW103"/>
  <c r="AW108"/>
  <c r="AQ116"/>
  <c r="AQ117"/>
  <c r="J144"/>
  <c r="J171"/>
  <c r="AU112" i="22"/>
  <c r="AQ49" i="12"/>
  <c r="AQ91"/>
  <c r="J145"/>
  <c r="J172"/>
  <c r="AU113" i="22"/>
  <c r="AR28" i="12"/>
  <c r="AR32"/>
  <c r="AW25"/>
  <c r="AR27"/>
  <c r="AK19" i="28"/>
  <c r="AJ20"/>
  <c r="AJ19" i="35"/>
  <c r="AI20"/>
  <c r="AI18" i="36"/>
  <c r="AI19"/>
  <c r="AS113" i="12"/>
  <c r="AS54"/>
  <c r="AS36"/>
  <c r="AR36"/>
  <c r="AR54"/>
  <c r="AR113"/>
  <c r="AW35"/>
  <c r="AL23" i="4"/>
  <c r="AS28" i="12"/>
  <c r="AS32"/>
  <c r="AQ82"/>
  <c r="AR58"/>
  <c r="AR90"/>
  <c r="AR55"/>
  <c r="AV59" i="22"/>
  <c r="AR61" i="12"/>
  <c r="AW54"/>
  <c r="AS39"/>
  <c r="AW6" i="22"/>
  <c r="AS51" i="12"/>
  <c r="AS52"/>
  <c r="AS47"/>
  <c r="AS61"/>
  <c r="AW59" i="22"/>
  <c r="AS58" i="12"/>
  <c r="AS90"/>
  <c r="AS55"/>
  <c r="AJ20" i="35"/>
  <c r="AK19"/>
  <c r="AJ18" i="36"/>
  <c r="AJ19"/>
  <c r="AK20" i="28"/>
  <c r="AL19"/>
  <c r="AL20"/>
  <c r="M11" i="23"/>
  <c r="O11"/>
  <c r="AW28" i="12"/>
  <c r="M12" i="23"/>
  <c r="O12"/>
  <c r="P12"/>
  <c r="AW36" i="12"/>
  <c r="AW113"/>
  <c r="AW115"/>
  <c r="AR114"/>
  <c r="AR115"/>
  <c r="AR39"/>
  <c r="AV6" i="22"/>
  <c r="AR51" i="12"/>
  <c r="AR52"/>
  <c r="AR47"/>
  <c r="AS114"/>
  <c r="AS115"/>
  <c r="AR33"/>
  <c r="AS27"/>
  <c r="AR116"/>
  <c r="AR117"/>
  <c r="L144"/>
  <c r="L171"/>
  <c r="AW112" i="22"/>
  <c r="AS86" i="12"/>
  <c r="AS48"/>
  <c r="AS81"/>
  <c r="AK92"/>
  <c r="AL92"/>
  <c r="AM92"/>
  <c r="AN92"/>
  <c r="AO92"/>
  <c r="AP92"/>
  <c r="AQ92"/>
  <c r="K144"/>
  <c r="K171"/>
  <c r="AV112" i="22"/>
  <c r="AW90" i="12"/>
  <c r="AR91"/>
  <c r="AR86"/>
  <c r="AW52"/>
  <c r="AR53"/>
  <c r="AS53"/>
  <c r="AT53"/>
  <c r="AU53"/>
  <c r="AV53"/>
  <c r="AR48"/>
  <c r="AW117"/>
  <c r="AW116"/>
  <c r="AT27"/>
  <c r="AS33"/>
  <c r="AS117"/>
  <c r="AS116"/>
  <c r="AW39"/>
  <c r="AW51"/>
  <c r="AW47"/>
  <c r="AL19" i="35"/>
  <c r="AK20"/>
  <c r="AK18" i="36"/>
  <c r="AK19"/>
  <c r="AS59" i="12"/>
  <c r="AT55"/>
  <c r="AW90" i="22"/>
  <c r="AW61" i="12"/>
  <c r="AR62"/>
  <c r="AS62"/>
  <c r="AT62"/>
  <c r="AU62"/>
  <c r="AV62"/>
  <c r="AV90" i="22"/>
  <c r="AR59" i="12"/>
  <c r="AU55"/>
  <c r="AX90" i="22"/>
  <c r="AT59" i="12"/>
  <c r="AL20" i="35"/>
  <c r="AL18" i="36"/>
  <c r="AL19"/>
  <c r="AR81" i="12"/>
  <c r="AW48"/>
  <c r="AR49"/>
  <c r="AS49"/>
  <c r="AT49"/>
  <c r="AU49"/>
  <c r="AV49"/>
  <c r="AV113" i="22"/>
  <c r="K145" i="12"/>
  <c r="K172"/>
  <c r="AR92"/>
  <c r="AS91"/>
  <c r="J146"/>
  <c r="J173"/>
  <c r="AQ93"/>
  <c r="AU138" i="22"/>
  <c r="AS138"/>
  <c r="H146" i="12"/>
  <c r="H173"/>
  <c r="AO93"/>
  <c r="AM93"/>
  <c r="F146"/>
  <c r="F173"/>
  <c r="AQ138" i="22"/>
  <c r="D146" i="12"/>
  <c r="D173"/>
  <c r="AK93"/>
  <c r="AO138" i="22"/>
  <c r="AU27" i="12"/>
  <c r="AT33"/>
  <c r="AW86"/>
  <c r="AR87"/>
  <c r="AS87"/>
  <c r="AT87"/>
  <c r="AU87"/>
  <c r="AV87"/>
  <c r="AP93"/>
  <c r="AT138" i="22"/>
  <c r="I146" i="12"/>
  <c r="I173"/>
  <c r="AN93"/>
  <c r="G146"/>
  <c r="G173"/>
  <c r="AR138" i="22"/>
  <c r="E146" i="12"/>
  <c r="E173"/>
  <c r="AL93"/>
  <c r="AP138" i="22"/>
  <c r="AV27" i="12"/>
  <c r="AV33"/>
  <c r="AU33"/>
  <c r="K146"/>
  <c r="K173"/>
  <c r="AR93"/>
  <c r="AV138" i="22"/>
  <c r="AU59" i="12"/>
  <c r="AY90" i="22"/>
  <c r="AV55" i="12"/>
  <c r="AW113" i="22"/>
  <c r="AT91" i="12"/>
  <c r="AS92"/>
  <c r="L145"/>
  <c r="L172"/>
  <c r="AW81"/>
  <c r="AR82"/>
  <c r="AS82"/>
  <c r="AT82"/>
  <c r="AU82"/>
  <c r="AV82"/>
  <c r="AW138" i="22"/>
  <c r="L146" i="12"/>
  <c r="L173"/>
  <c r="AS93"/>
  <c r="M145"/>
  <c r="M172"/>
  <c r="AX113" i="22"/>
  <c r="AU91" i="12"/>
  <c r="AT92"/>
  <c r="AV59"/>
  <c r="AZ90" i="22"/>
  <c r="AX138"/>
  <c r="M146" i="12"/>
  <c r="M173"/>
  <c r="AT93"/>
  <c r="AY113" i="22"/>
  <c r="AV91" i="12"/>
  <c r="AU92"/>
  <c r="N145"/>
  <c r="N172"/>
  <c r="AV92"/>
  <c r="O145"/>
  <c r="O172"/>
  <c r="M28" i="23"/>
  <c r="M29"/>
  <c r="AZ113" i="22"/>
  <c r="AU93" i="12"/>
  <c r="AY138" i="22"/>
  <c r="N146" i="12"/>
  <c r="N173"/>
  <c r="AZ138" i="22"/>
  <c r="O146" i="12"/>
  <c r="O173"/>
  <c r="AV93"/>
</calcChain>
</file>

<file path=xl/comments1.xml><?xml version="1.0" encoding="utf-8"?>
<comments xmlns="http://schemas.openxmlformats.org/spreadsheetml/2006/main">
  <authors>
    <author>DaughtryD</author>
  </authors>
  <commentList>
    <comment ref="D6" authorId="0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Includes CIS demand costs</t>
        </r>
      </text>
    </comment>
    <comment ref="I6" authorId="0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15% Warmer than normal</t>
        </r>
      </text>
    </comment>
  </commentList>
</comments>
</file>

<file path=xl/comments2.xml><?xml version="1.0" encoding="utf-8"?>
<comments xmlns="http://schemas.openxmlformats.org/spreadsheetml/2006/main">
  <authors>
    <author>Department of Public Utilities</author>
    <author>daughtryd</author>
    <author>DaughtryD</author>
  </authors>
  <commentList>
    <comment ref="C21" authorId="0">
      <text>
        <r>
          <rPr>
            <sz val="12"/>
            <color indexed="81"/>
            <rFont val="Arial Narrow"/>
            <family val="2"/>
          </rPr>
          <t>Act Tot -Dem,
Proj Dth*NYMEX
Winter - Stor $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21" authorId="0">
      <text>
        <r>
          <rPr>
            <sz val="12"/>
            <color indexed="81"/>
            <rFont val="Arial Narrow"/>
            <family val="2"/>
          </rPr>
          <t>Act Tot -Dem,
Proj Dth*NYMEX
Winter - Stor $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J21" authorId="0">
      <text>
        <r>
          <rPr>
            <sz val="12"/>
            <color indexed="81"/>
            <rFont val="Arial Narrow"/>
            <family val="2"/>
          </rPr>
          <t>Act Tot -Dem,
Proj Dth*NYMEX
Winter - Stor $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sz val="12"/>
            <color indexed="81"/>
            <rFont val="Arial Narrow"/>
            <family val="2"/>
          </rPr>
          <t>Act FSA
Plan Comd+Dem</t>
        </r>
      </text>
    </comment>
    <comment ref="H25" authorId="1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Estimated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$6.9M</t>
        </r>
      </text>
    </comment>
    <comment ref="I25" authorId="1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Estimated
$9.1M</t>
        </r>
      </text>
    </comment>
    <comment ref="J25" authorId="1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Estimated
$11.0M</t>
        </r>
      </text>
    </comment>
    <comment ref="K25" authorId="1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Estimated
$9.6M</t>
        </r>
      </text>
    </comment>
    <comment ref="L25" authorId="1">
      <text>
        <r>
          <rPr>
            <b/>
            <sz val="8"/>
            <color indexed="81"/>
            <rFont val="Tahoma"/>
            <family val="2"/>
          </rPr>
          <t xml:space="preserve">daughtryd:
</t>
        </r>
        <r>
          <rPr>
            <b/>
            <sz val="14"/>
            <color indexed="81"/>
            <rFont val="Tahoma"/>
            <family val="2"/>
          </rPr>
          <t xml:space="preserve">Estimated
$6.1 m
</t>
        </r>
      </text>
    </comment>
    <comment ref="T25" authorId="0">
      <text>
        <r>
          <rPr>
            <sz val="12"/>
            <color indexed="81"/>
            <rFont val="Arial Narrow"/>
            <family val="2"/>
          </rPr>
          <t>Act FSA
Plan Comd+Dem</t>
        </r>
      </text>
    </comment>
    <comment ref="AJ25" authorId="0">
      <text>
        <r>
          <rPr>
            <sz val="12"/>
            <color indexed="81"/>
            <rFont val="Arial Narrow"/>
            <family val="2"/>
          </rPr>
          <t>Act FSA
Plan Comd+Dem</t>
        </r>
      </text>
    </comment>
    <comment ref="C35" authorId="0">
      <text>
        <r>
          <rPr>
            <sz val="12"/>
            <color indexed="81"/>
            <rFont val="Arial Narrow"/>
            <family val="2"/>
          </rPr>
          <t>Total Comd - Non-PGC Comd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35" authorId="0">
      <text>
        <r>
          <rPr>
            <sz val="12"/>
            <color indexed="81"/>
            <rFont val="Arial Narrow"/>
            <family val="2"/>
          </rPr>
          <t>Total Comd - Non-PGC Comd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J35" authorId="0">
      <text>
        <r>
          <rPr>
            <sz val="12"/>
            <color indexed="81"/>
            <rFont val="Arial Narrow"/>
            <family val="2"/>
          </rPr>
          <t>Total Comd - Non-PGC Comd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sz val="12"/>
            <color indexed="81"/>
            <rFont val="Tahoma"/>
            <family val="2"/>
          </rPr>
          <t>Total Dem - LVS Dem - CIS Dem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37" authorId="0">
      <text>
        <r>
          <rPr>
            <sz val="12"/>
            <color indexed="81"/>
            <rFont val="Tahoma"/>
            <family val="2"/>
          </rPr>
          <t>Total Dem - LVS Dem - CIS Dem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J37" authorId="0">
      <text>
        <r>
          <rPr>
            <sz val="12"/>
            <color indexed="81"/>
            <rFont val="Tahoma"/>
            <family val="2"/>
          </rPr>
          <t>Total Dem - LVS Dem - CIS Dem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sz val="12"/>
            <color indexed="81"/>
            <rFont val="Tahoma"/>
            <family val="2"/>
          </rPr>
          <t>RS,GS,MS Comd + Dem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J39" authorId="0">
      <text>
        <r>
          <rPr>
            <sz val="12"/>
            <color indexed="81"/>
            <rFont val="Tahoma"/>
            <family val="2"/>
          </rPr>
          <t>RS,GS,MS Comd + Dem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41" authorId="2">
      <text>
        <r>
          <rPr>
            <sz val="12"/>
            <color indexed="81"/>
            <rFont val="Tahoma"/>
            <family val="2"/>
          </rPr>
          <t>UPDATE EACH
MONTH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41" authorId="0">
      <text>
        <r>
          <rPr>
            <sz val="12"/>
            <color indexed="81"/>
            <rFont val="Tahoma"/>
            <family val="2"/>
          </rPr>
          <t>Total Dem - LVS Dem - CIS Dem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J47" authorId="0">
      <text>
        <r>
          <rPr>
            <sz val="12"/>
            <color indexed="81"/>
            <rFont val="Tahoma"/>
            <family val="2"/>
          </rPr>
          <t>Total Dem - LVS Dem - CIS Dem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48" authorId="0">
      <text>
        <r>
          <rPr>
            <sz val="12"/>
            <color indexed="81"/>
            <rFont val="Tahoma"/>
            <family val="2"/>
          </rPr>
          <t>(PGC Comd - 
CIS Comd) +
RS,GS,MS Dem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48" authorId="0">
      <text>
        <r>
          <rPr>
            <sz val="12"/>
            <color indexed="81"/>
            <rFont val="Tahoma"/>
            <family val="2"/>
          </rPr>
          <t>(PGC Comd - 
CIS Comd) +
RS,GS,MS Dem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J48" authorId="0">
      <text>
        <r>
          <rPr>
            <sz val="12"/>
            <color indexed="81"/>
            <rFont val="Tahoma"/>
            <family val="2"/>
          </rPr>
          <t>(PGC Comd - 
CIS Comd) +
RS,GS,MS Dem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60" authorId="0">
      <text>
        <r>
          <rPr>
            <sz val="12"/>
            <color indexed="81"/>
            <rFont val="Tahoma"/>
            <family val="2"/>
          </rPr>
          <t>REV VOL</t>
        </r>
      </text>
    </comment>
    <comment ref="T60" authorId="0">
      <text>
        <r>
          <rPr>
            <sz val="12"/>
            <color indexed="81"/>
            <rFont val="Tahoma"/>
            <family val="2"/>
          </rPr>
          <t>REV VOL</t>
        </r>
      </text>
    </comment>
    <comment ref="AJ60" authorId="0">
      <text>
        <r>
          <rPr>
            <sz val="12"/>
            <color indexed="81"/>
            <rFont val="Tahoma"/>
            <family val="2"/>
          </rPr>
          <t>Fin Ops</t>
        </r>
      </text>
    </comment>
    <comment ref="C64" authorId="0">
      <text>
        <r>
          <rPr>
            <sz val="12"/>
            <color indexed="81"/>
            <rFont val="Tahoma"/>
            <family val="2"/>
          </rPr>
          <t>LINK TO LVS HEDGE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64" authorId="0">
      <text>
        <r>
          <rPr>
            <sz val="12"/>
            <color indexed="81"/>
            <rFont val="Tahoma"/>
            <family val="2"/>
          </rPr>
          <t>LINK TO LVS HEDGE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J64" authorId="0">
      <text>
        <r>
          <rPr>
            <sz val="12"/>
            <color indexed="81"/>
            <rFont val="Tahoma"/>
            <family val="2"/>
          </rPr>
          <t>LINK TO LVS HEDGE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68" authorId="2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Rev vol $4.84</t>
        </r>
      </text>
    </comment>
    <comment ref="E68" authorId="2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REV VOL $4.85</t>
        </r>
      </text>
    </comment>
    <comment ref="F68" authorId="1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REV VOL
$4.28</t>
        </r>
      </text>
    </comment>
    <comment ref="G68" authorId="1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REV VOL
$4.16</t>
        </r>
      </text>
    </comment>
    <comment ref="H68" authorId="1">
      <text>
        <r>
          <rPr>
            <b/>
            <sz val="14"/>
            <color indexed="81"/>
            <rFont val="Tahoma"/>
            <family val="2"/>
          </rPr>
          <t>daughtryd:</t>
        </r>
        <r>
          <rPr>
            <sz val="14"/>
            <color indexed="81"/>
            <rFont val="Tahoma"/>
            <family val="2"/>
          </rPr>
          <t xml:space="preserve">
REV VOL
$3.90</t>
        </r>
      </text>
    </comment>
    <comment ref="I68" authorId="1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REV VOL
$3.72</t>
        </r>
      </text>
    </comment>
    <comment ref="J68" authorId="1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REV VOL
$3.42</t>
        </r>
      </text>
    </comment>
    <comment ref="K68" authorId="1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REV VOL
$3.00</t>
        </r>
      </text>
    </comment>
    <comment ref="L68" authorId="1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REV VOL
$2.75</t>
        </r>
      </text>
    </comment>
    <comment ref="M68" authorId="1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REV VOL
$2.40</t>
        </r>
      </text>
    </comment>
    <comment ref="N68" authorId="1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Arial"/>
            <family val="2"/>
          </rPr>
          <t>REV VOL
$2.35</t>
        </r>
      </text>
    </comment>
    <comment ref="L91" authorId="2">
      <text>
        <r>
          <rPr>
            <sz val="14"/>
            <color indexed="81"/>
            <rFont val="Tahoma"/>
            <family val="2"/>
          </rPr>
          <t>NEEDS TO
BE +$5M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C91" authorId="2">
      <text>
        <r>
          <rPr>
            <sz val="12"/>
            <color indexed="81"/>
            <rFont val="Tahoma"/>
            <family val="2"/>
          </rPr>
          <t>NEEDS TO BE
$+5M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S91" authorId="2">
      <text>
        <r>
          <rPr>
            <sz val="12"/>
            <color indexed="81"/>
            <rFont val="Tahoma"/>
            <family val="2"/>
          </rPr>
          <t>NEEDS TO BE
$5M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Department of Public Utilities</author>
    <author>DaughtryD</author>
  </authors>
  <commentList>
    <comment ref="B2" authorId="0">
      <text>
        <r>
          <rPr>
            <sz val="8"/>
            <color indexed="81"/>
            <rFont val="Tahoma"/>
            <family val="2"/>
          </rPr>
          <t xml:space="preserve">Degree Day adjustment
</t>
        </r>
      </text>
    </comment>
    <comment ref="R2" authorId="0">
      <text>
        <r>
          <rPr>
            <sz val="8"/>
            <color indexed="81"/>
            <rFont val="Tahoma"/>
            <family val="2"/>
          </rPr>
          <t xml:space="preserve">Degree Day adjustment
</t>
        </r>
      </text>
    </comment>
    <comment ref="AH2" authorId="0">
      <text>
        <r>
          <rPr>
            <sz val="8"/>
            <color indexed="81"/>
            <rFont val="Tahoma"/>
            <family val="2"/>
          </rPr>
          <t xml:space="preserve">Degree Day adjustment
</t>
        </r>
      </text>
    </comment>
    <comment ref="B13" authorId="0">
      <text>
        <r>
          <rPr>
            <sz val="8"/>
            <color indexed="81"/>
            <rFont val="Tahoma"/>
            <family val="2"/>
          </rPr>
          <t xml:space="preserve">Col Gulf &amp; Gas
</t>
        </r>
      </text>
    </comment>
    <comment ref="R13" authorId="0">
      <text>
        <r>
          <rPr>
            <sz val="8"/>
            <color indexed="81"/>
            <rFont val="Tahoma"/>
            <family val="2"/>
          </rPr>
          <t xml:space="preserve">Col Gulf &amp; Gas
</t>
        </r>
      </text>
    </comment>
    <comment ref="AH13" authorId="0">
      <text>
        <r>
          <rPr>
            <sz val="8"/>
            <color indexed="81"/>
            <rFont val="Tahoma"/>
            <family val="2"/>
          </rPr>
          <t xml:space="preserve">Col Gulf &amp; Gas
</t>
        </r>
      </text>
    </comment>
    <comment ref="A26" authorId="1">
      <text>
        <r>
          <rPr>
            <sz val="12"/>
            <color indexed="81"/>
            <rFont val="Tahoma"/>
            <family val="2"/>
          </rPr>
          <t>MODEL DESIGN DAY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26" authorId="1">
      <text>
        <r>
          <rPr>
            <sz val="12"/>
            <color indexed="81"/>
            <rFont val="Tahoma"/>
            <family val="2"/>
          </rPr>
          <t>MODEL PEAK DAY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G26" authorId="1">
      <text>
        <r>
          <rPr>
            <sz val="12"/>
            <color indexed="81"/>
            <rFont val="Tahoma"/>
            <family val="2"/>
          </rPr>
          <t>MODEL PEAK DAY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27" authorId="1">
      <text>
        <r>
          <rPr>
            <sz val="12"/>
            <color indexed="81"/>
            <rFont val="Tahoma"/>
            <family val="2"/>
          </rPr>
          <t>MODEL
BASELOAD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7" authorId="0">
      <text>
        <r>
          <rPr>
            <sz val="12"/>
            <color indexed="81"/>
            <rFont val="Tahoma"/>
            <family val="2"/>
          </rPr>
          <t xml:space="preserve">MODEL
HEAT LOAD
</t>
        </r>
      </text>
    </comment>
    <comment ref="R27" authorId="0">
      <text>
        <r>
          <rPr>
            <sz val="8"/>
            <color indexed="81"/>
            <rFont val="Tahoma"/>
            <family val="2"/>
          </rPr>
          <t xml:space="preserve">Total Dth Sales model
</t>
        </r>
      </text>
    </comment>
    <comment ref="AH27" authorId="0">
      <text>
        <r>
          <rPr>
            <sz val="8"/>
            <color indexed="81"/>
            <rFont val="Tahoma"/>
            <family val="2"/>
          </rPr>
          <t xml:space="preserve">Total Dth Sales model
</t>
        </r>
      </text>
    </comment>
    <comment ref="A28" authorId="1">
      <text>
        <r>
          <rPr>
            <sz val="12"/>
            <color indexed="81"/>
            <rFont val="Tahoma"/>
            <family val="2"/>
          </rPr>
          <t>1011 WINTER
 REGRESSION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BASELOAD</t>
        </r>
      </text>
    </comment>
    <comment ref="B28" authorId="1">
      <text>
        <r>
          <rPr>
            <sz val="12"/>
            <color indexed="81"/>
            <rFont val="Tahoma"/>
            <family val="2"/>
          </rPr>
          <t>1011 WINTER
REGRESSION
HEAT LOAD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29" authorId="1">
      <text>
        <r>
          <rPr>
            <sz val="12"/>
            <color indexed="81"/>
            <rFont val="Tahoma"/>
            <family val="2"/>
          </rPr>
          <t>1011 WINTER 
REGRESSION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 xml:space="preserve"> DESIGN DAY</t>
        </r>
      </text>
    </comment>
    <comment ref="A37" authorId="1">
      <text>
        <r>
          <rPr>
            <sz val="12"/>
            <color indexed="81"/>
            <rFont val="Tahoma"/>
            <family val="2"/>
          </rPr>
          <t>1011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37" authorId="1">
      <text>
        <r>
          <rPr>
            <sz val="12"/>
            <color indexed="81"/>
            <rFont val="Tahoma"/>
            <family val="2"/>
          </rPr>
          <t xml:space="preserve">1011
</t>
        </r>
      </text>
    </comment>
    <comment ref="Q37" authorId="1">
      <text>
        <r>
          <rPr>
            <sz val="12"/>
            <color indexed="81"/>
            <rFont val="Tahoma"/>
            <family val="2"/>
          </rPr>
          <t>LINKED TO 1011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R37" authorId="1">
      <text>
        <r>
          <rPr>
            <sz val="12"/>
            <color indexed="81"/>
            <rFont val="Tahoma"/>
            <family val="2"/>
          </rPr>
          <t>LINKED TO 1011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G37" authorId="1">
      <text>
        <r>
          <rPr>
            <sz val="12"/>
            <color indexed="81"/>
            <rFont val="Tahoma"/>
            <family val="2"/>
          </rPr>
          <t xml:space="preserve">LINKED TO 1112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H37" authorId="1">
      <text>
        <r>
          <rPr>
            <sz val="12"/>
            <color indexed="81"/>
            <rFont val="Tahoma"/>
            <family val="2"/>
          </rPr>
          <t>LINKED TO 1112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42" authorId="1">
      <text>
        <r>
          <rPr>
            <sz val="12"/>
            <color indexed="81"/>
            <rFont val="Tahoma"/>
            <family val="2"/>
          </rPr>
          <t xml:space="preserve">1011
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2" authorId="1">
      <text>
        <r>
          <rPr>
            <sz val="12"/>
            <color indexed="81"/>
            <rFont val="Tahoma"/>
            <family val="2"/>
          </rPr>
          <t xml:space="preserve">1011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42" authorId="1">
      <text>
        <r>
          <rPr>
            <sz val="12"/>
            <color indexed="81"/>
            <rFont val="Tahoma"/>
            <family val="2"/>
          </rPr>
          <t>LINKED TO 1011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R42" authorId="1">
      <text>
        <r>
          <rPr>
            <sz val="12"/>
            <color indexed="81"/>
            <rFont val="Tahoma"/>
            <family val="2"/>
          </rPr>
          <t xml:space="preserve">LINKED TO 1011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G42" authorId="1">
      <text>
        <r>
          <rPr>
            <sz val="12"/>
            <color indexed="81"/>
            <rFont val="Tahoma"/>
            <family val="2"/>
          </rPr>
          <t>LINKED TO 1112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H42" authorId="1">
      <text>
        <r>
          <rPr>
            <sz val="12"/>
            <color indexed="81"/>
            <rFont val="Tahoma"/>
            <family val="2"/>
          </rPr>
          <t>LINKED TO 1112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46" authorId="1">
      <text>
        <r>
          <rPr>
            <sz val="12"/>
            <color indexed="81"/>
            <rFont val="Tahoma"/>
            <family val="2"/>
          </rPr>
          <t xml:space="preserve">1011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6" authorId="1">
      <text>
        <r>
          <rPr>
            <sz val="12"/>
            <color indexed="81"/>
            <rFont val="Tahoma"/>
            <family val="2"/>
          </rPr>
          <t xml:space="preserve">1011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46" authorId="1">
      <text>
        <r>
          <rPr>
            <sz val="12"/>
            <color indexed="81"/>
            <rFont val="Tahoma"/>
            <family val="2"/>
          </rPr>
          <t>LINKED TO 
1011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R46" authorId="1">
      <text>
        <r>
          <rPr>
            <sz val="12"/>
            <color indexed="81"/>
            <rFont val="Tahoma"/>
            <family val="2"/>
          </rPr>
          <t>LINKED TO 1011</t>
        </r>
      </text>
    </comment>
    <comment ref="AG46" authorId="1">
      <text>
        <r>
          <rPr>
            <sz val="12"/>
            <color indexed="81"/>
            <rFont val="Tahoma"/>
            <family val="2"/>
          </rPr>
          <t>LINKED TO 1112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H46" authorId="1">
      <text>
        <r>
          <rPr>
            <sz val="12"/>
            <color indexed="81"/>
            <rFont val="Tahoma"/>
            <family val="2"/>
          </rPr>
          <t>LINKED TO 1112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48" authorId="1">
      <text>
        <r>
          <rPr>
            <sz val="12"/>
            <color indexed="81"/>
            <rFont val="Tahoma"/>
            <family val="2"/>
          </rPr>
          <t xml:space="preserve">1011
 </t>
        </r>
      </text>
    </comment>
    <comment ref="B48" authorId="1">
      <text>
        <r>
          <rPr>
            <sz val="12"/>
            <color indexed="81"/>
            <rFont val="Tahoma"/>
            <family val="2"/>
          </rPr>
          <t xml:space="preserve">1011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48" authorId="1">
      <text>
        <r>
          <rPr>
            <sz val="12"/>
            <color indexed="81"/>
            <rFont val="Tahoma"/>
            <family val="2"/>
          </rPr>
          <t>LINKED TO 1011</t>
        </r>
      </text>
    </comment>
    <comment ref="R48" authorId="1">
      <text>
        <r>
          <rPr>
            <sz val="12"/>
            <color indexed="81"/>
            <rFont val="Tahoma"/>
            <family val="2"/>
          </rPr>
          <t>LINKED TO
1011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G48" authorId="1">
      <text>
        <r>
          <rPr>
            <sz val="12"/>
            <color indexed="81"/>
            <rFont val="Tahoma"/>
            <family val="2"/>
          </rPr>
          <t>LINKED TO 1011</t>
        </r>
      </text>
    </comment>
    <comment ref="AH48" authorId="1">
      <text>
        <r>
          <rPr>
            <sz val="12"/>
            <color indexed="81"/>
            <rFont val="Tahoma"/>
            <family val="2"/>
          </rPr>
          <t>LINKED TO 1011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56" authorId="1">
      <text>
        <r>
          <rPr>
            <sz val="12"/>
            <color indexed="81"/>
            <rFont val="Tahoma"/>
            <family val="2"/>
          </rPr>
          <t>1011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56" authorId="1">
      <text>
        <r>
          <rPr>
            <sz val="12"/>
            <color indexed="81"/>
            <rFont val="Tahoma"/>
            <family val="2"/>
          </rPr>
          <t xml:space="preserve">1011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56" authorId="1">
      <text>
        <r>
          <rPr>
            <sz val="12"/>
            <color indexed="81"/>
            <rFont val="Tahoma"/>
            <family val="2"/>
          </rPr>
          <t>LINKED TO
1011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R56" authorId="1">
      <text>
        <r>
          <rPr>
            <sz val="12"/>
            <color indexed="81"/>
            <rFont val="Tahoma"/>
            <family val="2"/>
          </rPr>
          <t>LINKED TO 1011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G56" authorId="1">
      <text>
        <r>
          <rPr>
            <sz val="12"/>
            <color indexed="81"/>
            <rFont val="Tahoma"/>
            <family val="2"/>
          </rPr>
          <t>LINKED TO 1112</t>
        </r>
      </text>
    </comment>
    <comment ref="AH56" authorId="1">
      <text>
        <r>
          <rPr>
            <sz val="12"/>
            <color indexed="81"/>
            <rFont val="Tahoma"/>
            <family val="2"/>
          </rPr>
          <t>LINKED TO 1112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2" authorId="1">
      <text>
        <r>
          <rPr>
            <sz val="12"/>
            <color indexed="81"/>
            <rFont val="Tahoma"/>
            <family val="2"/>
          </rPr>
          <t>1011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62" authorId="1">
      <text>
        <r>
          <rPr>
            <sz val="12"/>
            <color indexed="81"/>
            <rFont val="Tahoma"/>
            <family val="2"/>
          </rPr>
          <t>1011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62" authorId="1">
      <text>
        <r>
          <rPr>
            <sz val="12"/>
            <color indexed="81"/>
            <rFont val="Tahoma"/>
            <family val="2"/>
          </rPr>
          <t>LINKED TO 1011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R62" authorId="1">
      <text>
        <r>
          <rPr>
            <sz val="12"/>
            <color indexed="81"/>
            <rFont val="Tahoma"/>
            <family val="2"/>
          </rPr>
          <t>LINKED TO 1011</t>
        </r>
      </text>
    </comment>
    <comment ref="AG62" authorId="1">
      <text>
        <r>
          <rPr>
            <sz val="12"/>
            <color indexed="81"/>
            <rFont val="Tahoma"/>
            <family val="2"/>
          </rPr>
          <t>LINKED TO 1112</t>
        </r>
      </text>
    </comment>
    <comment ref="AH62" authorId="1">
      <text>
        <r>
          <rPr>
            <sz val="12"/>
            <color indexed="81"/>
            <rFont val="Tahoma"/>
            <family val="2"/>
          </rPr>
          <t>LINKED TO 1112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DaughtryD</author>
    <author>Department of Public Utilities</author>
  </authors>
  <commentList>
    <comment ref="G39" authorId="0">
      <text>
        <r>
          <rPr>
            <sz val="12"/>
            <color indexed="81"/>
            <rFont val="Tahoma"/>
            <family val="2"/>
          </rPr>
          <t>INCLUDES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STORAGE 
INJECTIONS</t>
        </r>
      </text>
    </comment>
    <comment ref="E46" authorId="0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PREPAY
DISCOUNT</t>
        </r>
      </text>
    </comment>
    <comment ref="V46" authorId="0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PREPAY
DISCOUNT</t>
        </r>
      </text>
    </comment>
    <comment ref="AM46" authorId="0">
      <text>
        <r>
          <rPr>
            <b/>
            <sz val="8"/>
            <color indexed="81"/>
            <rFont val="Tahoma"/>
            <family val="2"/>
          </rPr>
          <t>DaughtryD: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PREPAY
DISCOUNT</t>
        </r>
      </text>
    </comment>
    <comment ref="E109" authorId="1">
      <text>
        <r>
          <rPr>
            <sz val="8"/>
            <color indexed="81"/>
            <rFont val="Tahoma"/>
            <family val="2"/>
          </rPr>
          <t>NYMEX ADJUSTMENT</t>
        </r>
      </text>
    </comment>
    <comment ref="F109" authorId="1">
      <text>
        <r>
          <rPr>
            <sz val="8"/>
            <color indexed="81"/>
            <rFont val="Tahoma"/>
            <family val="2"/>
          </rPr>
          <t xml:space="preserve">LINKS TO HEDGE FILE
</t>
        </r>
      </text>
    </comment>
    <comment ref="V109" authorId="1">
      <text>
        <r>
          <rPr>
            <sz val="8"/>
            <color indexed="81"/>
            <rFont val="Tahoma"/>
            <family val="2"/>
          </rPr>
          <t>NYMEX ADJUSTMENT</t>
        </r>
      </text>
    </comment>
    <comment ref="W109" authorId="1">
      <text>
        <r>
          <rPr>
            <sz val="8"/>
            <color indexed="81"/>
            <rFont val="Tahoma"/>
            <family val="2"/>
          </rPr>
          <t xml:space="preserve">LINKS TO HEDGE FILE
</t>
        </r>
      </text>
    </comment>
    <comment ref="AM109" authorId="1">
      <text>
        <r>
          <rPr>
            <sz val="8"/>
            <color indexed="81"/>
            <rFont val="Tahoma"/>
            <family val="2"/>
          </rPr>
          <t>NYMEX ADJUSTMENT</t>
        </r>
      </text>
    </comment>
    <comment ref="AN109" authorId="1">
      <text>
        <r>
          <rPr>
            <sz val="8"/>
            <color indexed="81"/>
            <rFont val="Tahoma"/>
            <family val="2"/>
          </rPr>
          <t xml:space="preserve">LINKS TO HEDGE FILE
</t>
        </r>
      </text>
    </comment>
  </commentList>
</comments>
</file>

<file path=xl/sharedStrings.xml><?xml version="1.0" encoding="utf-8"?>
<sst xmlns="http://schemas.openxmlformats.org/spreadsheetml/2006/main" count="2624" uniqueCount="999">
  <si>
    <t>TOTAL</t>
  </si>
  <si>
    <t>DAYS</t>
  </si>
  <si>
    <t>VNG - DEMAND</t>
  </si>
  <si>
    <t>VNG - RATE</t>
  </si>
  <si>
    <t>VNG - DEMAND COST</t>
  </si>
  <si>
    <t>VNG - O &amp; M</t>
  </si>
  <si>
    <t>VNG - TOTAL</t>
  </si>
  <si>
    <t>COLUMBIA GULF (FTS-1) - DEMAND</t>
  </si>
  <si>
    <t>COLUMBIA GULF (FTS-1) - RATE</t>
  </si>
  <si>
    <t>COLUMBIA GULF (FTS-1) - COST</t>
  </si>
  <si>
    <t>COLUMBIA GAS (FTS) - DEMAND</t>
  </si>
  <si>
    <t>COLUMBIA GAS (FTS) - RATE</t>
  </si>
  <si>
    <t>COLUMBIA GAS (FTS) - COST</t>
  </si>
  <si>
    <t>TOTAL COLUMBIA FT DEMAND</t>
  </si>
  <si>
    <t>TRANSCO (FT) - DEMAND</t>
  </si>
  <si>
    <t>TRANSCO (FT) - RATE</t>
  </si>
  <si>
    <t>TRANSCO (FT) - COST</t>
  </si>
  <si>
    <t>TRANSCO - LEIDY - DEMAND</t>
  </si>
  <si>
    <t>TRANSCO - LEIDY - RATE</t>
  </si>
  <si>
    <t>TRANSCO - LEIDY - COST</t>
  </si>
  <si>
    <t>TOTAL TRANSCO FT DEMAND</t>
  </si>
  <si>
    <t>STORAGE TRANSPORTATION - RESERVATION</t>
  </si>
  <si>
    <t>COLUMBIA GAS (SST) - DEMAND</t>
  </si>
  <si>
    <t>COLUMBIA GAS (SST) - RATE</t>
  </si>
  <si>
    <t>COLUMBIA GAS (SST) - COST</t>
  </si>
  <si>
    <t>TOTAL STORAGE TRANSPORTATION COSTS</t>
  </si>
  <si>
    <t>STORAGE DEMAND AND CAPACITY</t>
  </si>
  <si>
    <t>COLUMBIA GAS (FSS)  - DEMAND</t>
  </si>
  <si>
    <t>COLUMBIA GAS (FSS)  - RATE</t>
  </si>
  <si>
    <t>COLUMBIA GAS (FSS)  - COST</t>
  </si>
  <si>
    <t>COLUMBIA GAS (FSS)  - CAPACITY</t>
  </si>
  <si>
    <t>TOTAL STORAGE DEMAND &amp; CAPACITY COSTS</t>
  </si>
  <si>
    <t>TOTAL CNG STORAGE DEMAND COSTS</t>
  </si>
  <si>
    <t>TOTAL COLUMBIA STORAGE DEMAND COSTS</t>
  </si>
  <si>
    <t>TOTAL STORAGE DEMAND COSTS</t>
  </si>
  <si>
    <t>LNG DEMAND &amp; CAPACITY COSTS</t>
  </si>
  <si>
    <t>LNG - DEMAND</t>
  </si>
  <si>
    <t>LNG - RATE</t>
  </si>
  <si>
    <t>LNG - COST</t>
  </si>
  <si>
    <t>LNG - CAPACITY</t>
  </si>
  <si>
    <t>TOTAL LNG DEMAND &amp; CAPACITY COSTS</t>
  </si>
  <si>
    <t>TOTAL DEMAND COSTS</t>
  </si>
  <si>
    <t>COL GAS</t>
  </si>
  <si>
    <t>COL GULF</t>
  </si>
  <si>
    <t>TRANSCO</t>
  </si>
  <si>
    <t>VNG</t>
  </si>
  <si>
    <t>TOTAL PIPELINES</t>
  </si>
  <si>
    <t>DTH</t>
  </si>
  <si>
    <t>$/DTH</t>
  </si>
  <si>
    <t>$</t>
  </si>
  <si>
    <t>COL TOTAL</t>
  </si>
  <si>
    <t>COL WACOG</t>
  </si>
  <si>
    <t>TRANSCO TOTAL</t>
  </si>
  <si>
    <t>TRANSCO WACOG</t>
  </si>
  <si>
    <t>HEDGED TOTAL</t>
  </si>
  <si>
    <t>CAPACITY</t>
  </si>
  <si>
    <t>STOI MAX</t>
  </si>
  <si>
    <t>STOI $/DTH</t>
  </si>
  <si>
    <t>STOI $</t>
  </si>
  <si>
    <t>STOW $/DTH</t>
  </si>
  <si>
    <t>STOW $</t>
  </si>
  <si>
    <t>FSS WACOG</t>
  </si>
  <si>
    <t>GSS TRANSFER</t>
  </si>
  <si>
    <t>GSS TRANSFER $/DTH</t>
  </si>
  <si>
    <t>GSS TRANSFER $</t>
  </si>
  <si>
    <t>GSS WACOG</t>
  </si>
  <si>
    <t xml:space="preserve">COL TOTAL </t>
  </si>
  <si>
    <t>LVS Hedge</t>
  </si>
  <si>
    <t>COLUMBIA &amp; TRANSCO TOTAL</t>
  </si>
  <si>
    <t>P L A N</t>
  </si>
  <si>
    <t>Total Mcfs</t>
  </si>
  <si>
    <t>Total Demand Costs</t>
  </si>
  <si>
    <t>Non-PGC Hedge Mcfs</t>
  </si>
  <si>
    <t>Non-PGC Hedge Costs</t>
  </si>
  <si>
    <t>Non-PGC WACOG Mcfs</t>
  </si>
  <si>
    <t>Non-PGC Demand Costs</t>
  </si>
  <si>
    <t>Total Non-PGC Costs</t>
  </si>
  <si>
    <t>PGC Commodity Costs</t>
  </si>
  <si>
    <t>Cumulative PGC Recovery</t>
  </si>
  <si>
    <t>PROJECTIONS - CG DTHS</t>
  </si>
  <si>
    <t>PROJECTIONS - BURNER MCFS</t>
  </si>
  <si>
    <t>BTU</t>
  </si>
  <si>
    <t>LOSS</t>
  </si>
  <si>
    <t>ACTUALS - FINANCIAL OPS SALES</t>
  </si>
  <si>
    <t>FUEL</t>
  </si>
  <si>
    <t>Days</t>
  </si>
  <si>
    <t>BASE</t>
  </si>
  <si>
    <t>HEAT</t>
  </si>
  <si>
    <t>FT GAS - HEDGE COST</t>
  </si>
  <si>
    <t xml:space="preserve">COLUMBIA FSS DTH </t>
  </si>
  <si>
    <t>TOTAL STORAGE DTH</t>
  </si>
  <si>
    <t>FT GAS - INDEX MTH DTH</t>
  </si>
  <si>
    <t>FT GAS - DTH/DAY</t>
  </si>
  <si>
    <t>CG FT - MAX DTH/DAY</t>
  </si>
  <si>
    <t>FT GAS - INDEX DTH/DAY</t>
  </si>
  <si>
    <t>FT GAS - INDEX/NYMEX $/DTH</t>
  </si>
  <si>
    <t>FT GAS - INDEX COST</t>
  </si>
  <si>
    <t>FT</t>
  </si>
  <si>
    <t>FT GAS - WACOG @ CG $/DTH</t>
  </si>
  <si>
    <t>FT GAS - WACOG @ BURNER $/MCF</t>
  </si>
  <si>
    <t>CIS</t>
  </si>
  <si>
    <t>LVS</t>
  </si>
  <si>
    <t>FT GAS - TOTAL COST</t>
  </si>
  <si>
    <t>NON-PGC WACOG</t>
  </si>
  <si>
    <t>$/MCF</t>
  </si>
  <si>
    <t>Non-PGC Hedge $/Mcf</t>
  </si>
  <si>
    <t>Non-PGC WACOG $/Mcf</t>
  </si>
  <si>
    <t>Non-PGC WACOG Costs</t>
  </si>
  <si>
    <t>COLUMBIA &amp; TRANSCO TOTAL @ CG</t>
  </si>
  <si>
    <t>COLUMBIA &amp; TRANSCO TOTAL @ BURNER</t>
  </si>
  <si>
    <t>FT GAS - HEDGE &amp; INDEX WACOG</t>
  </si>
  <si>
    <t>Projected Gas Costs and PGC Recovery</t>
  </si>
  <si>
    <t>City of Richmond</t>
  </si>
  <si>
    <t>Department of Public Utilities</t>
  </si>
  <si>
    <t>PLAN</t>
  </si>
  <si>
    <t>PGC Mcfs</t>
  </si>
  <si>
    <t>Non-PGC Mcfs</t>
  </si>
  <si>
    <t>Non-PGC Commodity Costs</t>
  </si>
  <si>
    <t>COSTS</t>
  </si>
  <si>
    <t>REVENUE</t>
  </si>
  <si>
    <t>FACTOR</t>
  </si>
  <si>
    <t>PGC MTH COST &amp; REVENUES ($M)</t>
  </si>
  <si>
    <t>MONTH</t>
  </si>
  <si>
    <t>CUMULATIVE</t>
  </si>
  <si>
    <t>DEGDAY ADJ</t>
  </si>
  <si>
    <t>NORMAL &amp; ACTUAL DEGREE DAYS</t>
  </si>
  <si>
    <t>CIS Demand Costs</t>
  </si>
  <si>
    <t>RS,GS,MS Mcfs</t>
  </si>
  <si>
    <t>Total Commodity Costs of Sales</t>
  </si>
  <si>
    <t>Total Cost of Sales</t>
  </si>
  <si>
    <t>CIS PGC Rate</t>
  </si>
  <si>
    <t>RS,GS,MS PGC Rate</t>
  </si>
  <si>
    <t>RS,GS,MS Demand Costs</t>
  </si>
  <si>
    <t>PGC Unit Commodity Costs</t>
  </si>
  <si>
    <t>RS,GS,MS PGC Costs</t>
  </si>
  <si>
    <t>RS,GS,MS Unit Demand Costs</t>
  </si>
  <si>
    <t>RS,GS,MS Unit PGC</t>
  </si>
  <si>
    <t>CIS PGC Revenue</t>
  </si>
  <si>
    <t>CIS PGC Cumulative Revenue</t>
  </si>
  <si>
    <t>RS,GS,MS PGC Revenue</t>
  </si>
  <si>
    <t>CIS Mcfs</t>
  </si>
  <si>
    <t>RS,GS,MS PGC Cumulative Revenue</t>
  </si>
  <si>
    <t>RS,GS,MS PGC Cumulative Costs</t>
  </si>
  <si>
    <t>CIS Cumulative PGC Recovery</t>
  </si>
  <si>
    <t>RS,GS,MS Mth Revenue vs Cost</t>
  </si>
  <si>
    <t>RS,GS,MS Cumulative PGC Recovery</t>
  </si>
  <si>
    <t>MTH AVG</t>
  </si>
  <si>
    <t>MDQ</t>
  </si>
  <si>
    <t>DEMAND BY PIPELINE</t>
  </si>
  <si>
    <t>RS UNIT COST</t>
  </si>
  <si>
    <t>RS RATE</t>
  </si>
  <si>
    <t>Total ($M)</t>
  </si>
  <si>
    <t>MMcf</t>
  </si>
  <si>
    <t>$/Mcf</t>
  </si>
  <si>
    <t>Total</t>
  </si>
  <si>
    <t>PGC</t>
  </si>
  <si>
    <t>Non-PGC</t>
  </si>
  <si>
    <t>Factor</t>
  </si>
  <si>
    <t>Loss</t>
  </si>
  <si>
    <t>Gas Cost Summary</t>
  </si>
  <si>
    <t>FSS SALE $</t>
  </si>
  <si>
    <t>FSS SALE DTH</t>
  </si>
  <si>
    <t>FSS SALE $/DTH</t>
  </si>
  <si>
    <t>NYMEX Settlement:</t>
  </si>
  <si>
    <t>PROJECTIONS - INTO PIPELINE DTHS</t>
  </si>
  <si>
    <t>Total Hedge Status</t>
  </si>
  <si>
    <t>PGC Hedge Status</t>
  </si>
  <si>
    <t>DTI (FTNN) - DEMAND</t>
  </si>
  <si>
    <t>DTI (FTNN) - RATE</t>
  </si>
  <si>
    <t>DTI (FTNN) - COST</t>
  </si>
  <si>
    <t xml:space="preserve">DTI (FTNN) - MID- ATLANTIC DEMAND </t>
  </si>
  <si>
    <t>DTI (FTNN) - MID-ATLANTIC RATE</t>
  </si>
  <si>
    <t>DTI (FTNN) - MID-ATLANTIC COST</t>
  </si>
  <si>
    <t>DTI (FTNN - GSS) - DEMAND</t>
  </si>
  <si>
    <t>DTI (FTNN - GSS) - RATE</t>
  </si>
  <si>
    <t>DTI (FTNN - GSS) - COST</t>
  </si>
  <si>
    <t>DTI (FTNN   STORAGE) - DEMAND</t>
  </si>
  <si>
    <t>DTI (FTNN  STORAGE) - RATE</t>
  </si>
  <si>
    <t>DTI (FTNN  STORAGE) - COST</t>
  </si>
  <si>
    <t>DTI (GSS)  - DEMAND</t>
  </si>
  <si>
    <t>DTI (GSS)  - RATE</t>
  </si>
  <si>
    <t>DTI (GSS)  - COST</t>
  </si>
  <si>
    <t>DTI (GSS)  - CAPACITY</t>
  </si>
  <si>
    <t xml:space="preserve">DTI (FTNN STORAGE) - MID- ATLANTIC DEMAND </t>
  </si>
  <si>
    <t>DTI (FTNN STORAGE) - MID-ATLANTIC RATE</t>
  </si>
  <si>
    <t>DTI (FTNN STORAGE) - MID-ATLANTIC COST</t>
  </si>
  <si>
    <t>TOTAL  DTI FT DEMAND</t>
  </si>
  <si>
    <t>DTI</t>
  </si>
  <si>
    <t>DTI TOTAL</t>
  </si>
  <si>
    <t>DELIVERED GAS</t>
  </si>
  <si>
    <t>TRANSCO ZN3 - HEDGE</t>
  </si>
  <si>
    <t>STOI MAX %</t>
  </si>
  <si>
    <t>STOI PLAN %</t>
  </si>
  <si>
    <t>STOI ACTUAL &amp; PLAN</t>
  </si>
  <si>
    <t>STOW PLAN %</t>
  </si>
  <si>
    <t>STOW ACTUAL &amp; PLAN</t>
  </si>
  <si>
    <t>COLUMBIA GAS UDI (FT) - DEMAND</t>
  </si>
  <si>
    <t>COLUMBIA GAS UDI (FT) - RATE</t>
  </si>
  <si>
    <t>COLUMBIA GAS UDI (FT) - COST</t>
  </si>
  <si>
    <t>PGC Commodity Costs (RS,GS,MS,CIS)</t>
  </si>
  <si>
    <t>PGC Commodity Cost Diff</t>
  </si>
  <si>
    <t>Unit Cost Diff</t>
  </si>
  <si>
    <t>Cumulative Cost of Sales</t>
  </si>
  <si>
    <t>Total PGC Revenue (RS,GS,MS,CIS)</t>
  </si>
  <si>
    <t>Total PGC Cumulative Revenue</t>
  </si>
  <si>
    <t>CIS PGC Costs (w/o Demand)</t>
  </si>
  <si>
    <t>Total PGC Costs (w/o CIS Demand)</t>
  </si>
  <si>
    <t>CIS Unit PGC (w/o Demand)</t>
  </si>
  <si>
    <t>CIS PGC Cumulative Costs (w/o Demand)</t>
  </si>
  <si>
    <t>PGC Cumulative Costs (w/o CIS Demand)</t>
  </si>
  <si>
    <t>Total PGC Costs (with CIS Demand)</t>
  </si>
  <si>
    <t>PGC Cumulative Costs (with CIS Demand)</t>
  </si>
  <si>
    <t>CIS Mth PGC Revenue vs Cost</t>
  </si>
  <si>
    <t>Total PGC Revenue vs Cost</t>
  </si>
  <si>
    <t xml:space="preserve">DTI GSS DTH </t>
  </si>
  <si>
    <t>Actual Mcfs and Projected PGC - CIS</t>
  </si>
  <si>
    <t>Actual Mcfs and Projected Mcfs</t>
  </si>
  <si>
    <t>Actual sum and Projected Mcfs</t>
  </si>
  <si>
    <t>Sum</t>
  </si>
  <si>
    <t>Actual from Energy Services FSA, Planned Comd + Demand</t>
  </si>
  <si>
    <t>Total Commodity - Non-PGC Commodity</t>
  </si>
  <si>
    <t>Total Demand - LVS Demand - CIS Demand</t>
  </si>
  <si>
    <t>PGC Unit Commodity + RS,GS,MS Unit Demand</t>
  </si>
  <si>
    <t>(PGC Commodity - CIS Commodity) + RS,GS,MS Demand</t>
  </si>
  <si>
    <t>same as PGC Unit Commodity</t>
  </si>
  <si>
    <t>PGC Unit Commodity Costs $/Mcf</t>
  </si>
  <si>
    <t>RS,GS,MS Unit Demand Costs $/Mcf</t>
  </si>
  <si>
    <t>RS,GS,MS Unit PGC$/Mcf</t>
  </si>
  <si>
    <t>CIS Unit PGC * CIS Mcfs</t>
  </si>
  <si>
    <t>PGC gas + RS,GS,MS demand</t>
  </si>
  <si>
    <t>PGC gas + PGC Demand (incl CIS)</t>
  </si>
  <si>
    <t>Fin Ops</t>
  </si>
  <si>
    <t>Non-PGC Total Mcfs - Hedged Mcfs</t>
  </si>
  <si>
    <t>Non-PGC Hedge Mcf</t>
  </si>
  <si>
    <t>Link to LVS Hedge page</t>
  </si>
  <si>
    <t>Input based on citygate hedge quote</t>
  </si>
  <si>
    <t>Actual FSA Total - Demand, Proj Rec Total Dths*FT Wacog (NYMEX &amp; hedge) and STOW Nov-Mar - COR fuel is weighted average of PGC and non-PGC</t>
  </si>
  <si>
    <t>Actual COR Wacog, Planned FT Gas INDEX WACOG  w non-PGC COR loss</t>
  </si>
  <si>
    <t>FT WACOG $/Dth (@GULF) Hedge &amp; Index</t>
  </si>
  <si>
    <t>FT WACOG $/Dth (@COR CG) Hedge &amp; Index</t>
  </si>
  <si>
    <t>FT WACOG $/Mcf (@BURNER) Hedge &amp; Index</t>
  </si>
  <si>
    <t>COR Wacog  (Mcfs) Index</t>
  </si>
  <si>
    <t>Mth PGC (COR Wacog*Mcfs)</t>
  </si>
  <si>
    <t>Total Commodity Cost of Sales/Total Mcfs (Index, Daily, Hedge, STOW)</t>
  </si>
  <si>
    <t>Non-PGC WACOG $/Mcf - COR WACOG Index only</t>
  </si>
  <si>
    <t>FT WACOG vs Total Commodity Unit Cost</t>
  </si>
  <si>
    <t>PGC Commodity Cost Differnce</t>
  </si>
  <si>
    <t>COL GULF HEDGE</t>
  </si>
  <si>
    <t>Year Report</t>
  </si>
  <si>
    <t>TRANSCO ZN3 - KEEP WHOLE OR SALE</t>
  </si>
  <si>
    <t>CIS Difference</t>
  </si>
  <si>
    <t>FTNN</t>
  </si>
  <si>
    <t>INJECTION</t>
  </si>
  <si>
    <t xml:space="preserve">WITHDRAWAL </t>
  </si>
  <si>
    <t>FTS-1</t>
  </si>
  <si>
    <t>COL  GAS</t>
  </si>
  <si>
    <t>FTS</t>
  </si>
  <si>
    <t>SST - WTH</t>
  </si>
  <si>
    <t>FSSIJ</t>
  </si>
  <si>
    <t>FSSWD</t>
  </si>
  <si>
    <t>COL</t>
  </si>
  <si>
    <t>FT - Zn 1,2,3 to 5</t>
  </si>
  <si>
    <t>MONTHLY TOTAL</t>
  </si>
  <si>
    <t>CUMULATIVE TOTAL</t>
  </si>
  <si>
    <t>DTI FOM INDEX</t>
  </si>
  <si>
    <t>DTI DAILY</t>
  </si>
  <si>
    <t>COL GULF FOM INDEX</t>
  </si>
  <si>
    <t>COL GULF DAILY</t>
  </si>
  <si>
    <t xml:space="preserve">COL GAS FOM INDEX </t>
  </si>
  <si>
    <t>COL GAS DAILY</t>
  </si>
  <si>
    <t>Yr-toYr</t>
  </si>
  <si>
    <t>COL GAS FSS TRANSFER</t>
  </si>
  <si>
    <t>PGC Cumulative Recovery</t>
  </si>
  <si>
    <t>PGC Rate</t>
  </si>
  <si>
    <t>MAX FSS %</t>
  </si>
  <si>
    <t>TRANSCO ZN1 - FOM INDEX</t>
  </si>
  <si>
    <t>TRANSCO ZN2 - FOM INDEX</t>
  </si>
  <si>
    <t>TRANSCO ZN3 - FOM INDEX</t>
  </si>
  <si>
    <t>TOTAL MCFS</t>
  </si>
  <si>
    <t>DAILY MCFS</t>
  </si>
  <si>
    <t>MCF HEDGED PRICE</t>
  </si>
  <si>
    <t>MCF WACOG</t>
  </si>
  <si>
    <t>HEDGE VS WACOG</t>
  </si>
  <si>
    <t>HEDGE VS ACTUAL COSTS</t>
  </si>
  <si>
    <t>DIFFERENCE</t>
  </si>
  <si>
    <t>ESCRIPT DTH</t>
  </si>
  <si>
    <t>TRANSPORT PAGE TOTAL</t>
  </si>
  <si>
    <t>DEMAND PAGE TOTAL</t>
  </si>
  <si>
    <t>GAS,TRANSPORT, &amp; DEMAND TOTAL</t>
  </si>
  <si>
    <t>BP ENERGY INVOICE TOTAL</t>
  </si>
  <si>
    <t>Yr Change</t>
  </si>
  <si>
    <t>ACTUAL MTH DD (ACCUWEATHER)</t>
  </si>
  <si>
    <t>RS,GS,MS PGA Revenue Totals</t>
  </si>
  <si>
    <t>Differences</t>
  </si>
  <si>
    <t>Residental PGA - Fin Ops</t>
  </si>
  <si>
    <t>Commercial PGA - Fin Ops</t>
  </si>
  <si>
    <t>Municipal PGA - Fin Ops</t>
  </si>
  <si>
    <t>CIS PGC Revenue - Fin Ops</t>
  </si>
  <si>
    <t xml:space="preserve">  Flex Gas (cog*flex vols)/PGA - Fin Ops</t>
  </si>
  <si>
    <t xml:space="preserve">     LVS Gas Cost(gwac) - Fin Ops</t>
  </si>
  <si>
    <t xml:space="preserve">     LVS Gas Cost(fwa1) - Fin Ops</t>
  </si>
  <si>
    <t>Flex and LVS Gas Cost Totals</t>
  </si>
  <si>
    <t>CUMULATIVE HEDGE VS ACTUAL COSTS</t>
  </si>
  <si>
    <t>FY YTD</t>
  </si>
  <si>
    <t>Total PGC Revenue</t>
  </si>
  <si>
    <t>Total PGC Revenue - Fin Ops Rev Vol</t>
  </si>
  <si>
    <t>COL GAS (INCLUDES UDI)</t>
  </si>
  <si>
    <t>REVENUE SHARING TO RICHMOND</t>
  </si>
  <si>
    <t>PGC MTH RECOVERY AND CUMULATIVE RECOVERY ($M)</t>
  </si>
  <si>
    <t>Mth Differences</t>
  </si>
  <si>
    <t>Total Revenue</t>
  </si>
  <si>
    <t>Cumulative Revenue</t>
  </si>
  <si>
    <t>Total Revenue vs Total Costs</t>
  </si>
  <si>
    <t>Cumulative Revenue vs Cumulative Costs</t>
  </si>
  <si>
    <t>VNG - RELEASED CAPACITY CREDIT</t>
  </si>
  <si>
    <t>Average Cost of Sales ($/Mcf)</t>
  </si>
  <si>
    <t>NON-PGC</t>
  </si>
  <si>
    <t>BUDGET</t>
  </si>
  <si>
    <t>PGC Storage</t>
  </si>
  <si>
    <t>PGC w/o Hedge and Storage</t>
  </si>
  <si>
    <t>PGC MTH UNIT COST &amp;  RATE ($M)</t>
  </si>
  <si>
    <t>DEMAND</t>
  </si>
  <si>
    <t>COMMODITY</t>
  </si>
  <si>
    <t>PGC Hedge and Storage</t>
  </si>
  <si>
    <t>PGC AND NON-PGC MTH REQUIREMENTS</t>
  </si>
  <si>
    <t>PGC MTH COMMODITY &amp; DEMAND COSTS</t>
  </si>
  <si>
    <t>NON-PGC MTH DEMAND &amp; COMMODITY COSTS</t>
  </si>
  <si>
    <t>PGC COMMODITY</t>
  </si>
  <si>
    <t>PGC DEMAND</t>
  </si>
  <si>
    <t>NON-PGC COMMODITY</t>
  </si>
  <si>
    <t>NON-PGC DEMAND</t>
  </si>
  <si>
    <t xml:space="preserve">COMMODITY </t>
  </si>
  <si>
    <t>TOTAL MTH GAS COSTS</t>
  </si>
  <si>
    <t>PGC MTH AND CUMULATIVE GAS COST RECOVERY ($M)</t>
  </si>
  <si>
    <t>PGC MTH COST &amp; REVENUE ($M)</t>
  </si>
  <si>
    <t>PGC AND NON-PGC MTH COMMODITY &amp; DEMAND GAS COSTS</t>
  </si>
  <si>
    <t>TOTAL MTH COMMODITY &amp; DEMAND GAS COSTS</t>
  </si>
  <si>
    <t>CG DTH PROJECTION VARIANCE</t>
  </si>
  <si>
    <t>PURCH DTH PROJECTION VARIANCE</t>
  </si>
  <si>
    <t>PROJECTED GAS COST VARIANCE</t>
  </si>
  <si>
    <t>PROJECTED CASH REQ</t>
  </si>
  <si>
    <t>REVISED PROJECTED CASH REQ</t>
  </si>
  <si>
    <t>STOI ACTUAL %</t>
  </si>
  <si>
    <t>STOI PLAN</t>
  </si>
  <si>
    <t>STOW PLAN</t>
  </si>
  <si>
    <t>CUML DTH</t>
  </si>
  <si>
    <t>CUML $</t>
  </si>
  <si>
    <t>CUML DTH %</t>
  </si>
  <si>
    <t>DTI TOTAL (INCL TENN AND VNG)</t>
  </si>
  <si>
    <t>COLUMBIA TOTAL (INCL TRANSCO AND UDI)</t>
  </si>
  <si>
    <t>HEDGED TOTAL %</t>
  </si>
  <si>
    <t>DTI SWING</t>
  </si>
  <si>
    <t>DTI SWING %</t>
  </si>
  <si>
    <t>COL SWING</t>
  </si>
  <si>
    <t>COL SWING %</t>
  </si>
  <si>
    <t>100% LF Unit</t>
  </si>
  <si>
    <t>70% LF Unit</t>
  </si>
  <si>
    <t>55% LF Unit</t>
  </si>
  <si>
    <t>RS</t>
  </si>
  <si>
    <t>40% LF Unit</t>
  </si>
  <si>
    <t>PGC MTH ACTUAL</t>
  </si>
  <si>
    <t>PGC MTH NRMLZD</t>
  </si>
  <si>
    <t>PGC MTH PROJECTED</t>
  </si>
  <si>
    <t>Cumulative Total Cost of Sales</t>
  </si>
  <si>
    <t xml:space="preserve">CIS Commodity Costs </t>
  </si>
  <si>
    <t>CIS Unit Commodity Costs $/Mcf</t>
  </si>
  <si>
    <t xml:space="preserve">CIS Cumulative Commodity Costs </t>
  </si>
  <si>
    <t>Cumulative PGC Recovery % of Total PGC Costs (w/o CIS Demand)</t>
  </si>
  <si>
    <t>RS,GS,MS Average Unit Demand Cost</t>
  </si>
  <si>
    <t>RS,GS,MS Average Unit Demand Cost + PGC Unit Commodity Costs $/Mcf</t>
  </si>
  <si>
    <t>PGC UNIT COST</t>
  </si>
  <si>
    <t>PGC RATE</t>
  </si>
  <si>
    <t xml:space="preserve">PGC UNIT COST (W/ AVG UNIT DEMAND) </t>
  </si>
  <si>
    <t>Columbia and Transco at COR $/Mcf</t>
  </si>
  <si>
    <t>vs WACOG</t>
  </si>
  <si>
    <t>Non-PGC - COR Wacog $/Mcf Index only (COR L&amp;U 2.5%)</t>
  </si>
  <si>
    <t>FT GAS Wacog vs Total Commodity Unit Cost $/Mcf</t>
  </si>
  <si>
    <t>FT GAS Wacog $/Dth (@GULF) NYMEX Settlement &amp; Hedge</t>
  </si>
  <si>
    <t>FT GAS Wacog $/Dth (@COR CG) NYMEX Settlement &amp; Hedge</t>
  </si>
  <si>
    <t>FT GAS Wacog $/Mcf (@BURNER) NYMEX Settlement &amp; Hedge</t>
  </si>
  <si>
    <t>DTI%</t>
  </si>
  <si>
    <t>COLUMBIA%</t>
  </si>
  <si>
    <t>TRANSCO%</t>
  </si>
  <si>
    <t>TOTAL%</t>
  </si>
  <si>
    <t>COLUMBIA DTH</t>
  </si>
  <si>
    <t>TRANSCO DTH</t>
  </si>
  <si>
    <t>DTI DTH</t>
  </si>
  <si>
    <t>INDEX TOTAL %</t>
  </si>
  <si>
    <t xml:space="preserve">MONTHLY INDEX TOTAL </t>
  </si>
  <si>
    <t>DAILY INDEX TOTAL</t>
  </si>
  <si>
    <t>FIRM TRANSPORTATION - DEMAND</t>
  </si>
  <si>
    <t>TOTAL FT DEMAND COSTS</t>
  </si>
  <si>
    <t>STORAGE TRANSPORTATION - DEMAND</t>
  </si>
  <si>
    <t>TOTAL PURCH DTHS</t>
  </si>
  <si>
    <t>PURCH DTHS DETAIL</t>
  </si>
  <si>
    <t>PGC MTH MCF DIFF</t>
  </si>
  <si>
    <t>PGC NRMLZD MTH MCF DIFF</t>
  </si>
  <si>
    <t>PGC NRMLZD MTH MCF %DIFF</t>
  </si>
  <si>
    <t>PGC MTH MCF %DIFF</t>
  </si>
  <si>
    <t>PGC MTH DTH INTO PIPELINE</t>
  </si>
  <si>
    <t>PGC CUML DTH INTO PIPELINE</t>
  </si>
  <si>
    <t>NON-PGC MTH DTH INTO PIPELINE</t>
  </si>
  <si>
    <t>NON-PGC CUML DTH INTO PIPELINE</t>
  </si>
  <si>
    <t>PGC MTH DTH AT COR</t>
  </si>
  <si>
    <t>NON-PGC MTH DTH AT COR</t>
  </si>
  <si>
    <t>CIS MTH MCF</t>
  </si>
  <si>
    <t>PGC MTH MCF</t>
  </si>
  <si>
    <t>PGC MTH MCF GROWTH</t>
  </si>
  <si>
    <t>PGC MTH MCF W/GROWTH</t>
  </si>
  <si>
    <t>MTH TOTAL DTH AT COR</t>
  </si>
  <si>
    <t>MTH DD DIFF</t>
  </si>
  <si>
    <t>% MTH DD DIFF</t>
  </si>
  <si>
    <t>MTH TOTAL DTH INTO PIPELINE</t>
  </si>
  <si>
    <t>CUML TOTAL DTH INTO PIPELINE</t>
  </si>
  <si>
    <t>LVS MTH MCF</t>
  </si>
  <si>
    <t>MTH TOTAL MCF</t>
  </si>
  <si>
    <t>PGC NRMLZD MTH MCF</t>
  </si>
  <si>
    <t>LVS MTH MCF DIFF</t>
  </si>
  <si>
    <t>LVS MTH MCF %DIFF</t>
  </si>
  <si>
    <t>NON-PGC MTH MCF DIFF</t>
  </si>
  <si>
    <t>NON-PGC MTH MCF %DIFF</t>
  </si>
  <si>
    <t>TOTAL MTH MCF DIFF</t>
  </si>
  <si>
    <t>TOTAL MTH MCF %DIFF</t>
  </si>
  <si>
    <t>COP COLUMBIA BASELOAD DTH @ COR</t>
  </si>
  <si>
    <t>COLUMBIA DTH TOTAL</t>
  </si>
  <si>
    <t>COP TRANSCO BASELOAD DTH @ COR VIA EMPORIA</t>
  </si>
  <si>
    <t>BP DTI BASELOAD DTH @ COR</t>
  </si>
  <si>
    <t>BP DTI GSS BASELOAD DTH @ COR</t>
  </si>
  <si>
    <t>BP DTI SWING DTH @ COR</t>
  </si>
  <si>
    <t>DTI DTH TOTAL</t>
  </si>
  <si>
    <t>TOTAL DTH @ COR</t>
  </si>
  <si>
    <t>COLUMBIA TOTAL DTH INTO CGT</t>
  </si>
  <si>
    <t>TRANSCO TOTAL DTH INTO TGPL ZN3</t>
  </si>
  <si>
    <t>DTI TOTAL DTH INTO DTI SP</t>
  </si>
  <si>
    <t xml:space="preserve">FT GAS MTH DTH (PROJ REQS+STOI APR-OCT, PROJ REQS-STOW NOV-MAR) </t>
  </si>
  <si>
    <t>CONOCOPHILLIPS $</t>
  </si>
  <si>
    <t>CONOCOPHILLIPS DTH</t>
  </si>
  <si>
    <t>PURCH DTHS VS FT GAS MTH DTH</t>
  </si>
  <si>
    <t>FT GAS - DTI SP BASIS</t>
  </si>
  <si>
    <t>FT GAS - DTI SP BASIS COST</t>
  </si>
  <si>
    <t>Monthly Cost of Sales Budgeted</t>
  </si>
  <si>
    <t>Total Projected Commodity Costs (Storage injections not expensed)</t>
  </si>
  <si>
    <t>Total Projected Costs (Storage injections not expensed) - Cash Reqs</t>
  </si>
  <si>
    <t>Total Actual Costs (Storage injections not expensed) - Cash Reqs</t>
  </si>
  <si>
    <t>FT GAS - DTI SP DTH</t>
  </si>
  <si>
    <t>FSA CUML COR$</t>
  </si>
  <si>
    <t>FSA FSS COR WACOG</t>
  </si>
  <si>
    <t>FSA CUML COR DTH</t>
  </si>
  <si>
    <t>CUML DTH VS FSA CUML DTH</t>
  </si>
  <si>
    <t>CUML$ VS FSA CUML$</t>
  </si>
  <si>
    <t>FSS WACOG VS FSA FSS WACOG</t>
  </si>
  <si>
    <t>FSA STOR WACOG</t>
  </si>
  <si>
    <t>STOW TRANSFER</t>
  </si>
  <si>
    <t>STOW TRANSFER $/DTH</t>
  </si>
  <si>
    <t>STOW TRANSFER $</t>
  </si>
  <si>
    <t>STOR WACOG</t>
  </si>
  <si>
    <t>Cumulative PGC Recovery % of Total PGC Costs (w/o CIS Demand) Change</t>
  </si>
  <si>
    <t>RS,GS,MS PGC Rate % Change</t>
  </si>
  <si>
    <t>Non-PGC Hedge Status</t>
  </si>
  <si>
    <t>% DIFFERENCE</t>
  </si>
  <si>
    <t>FSA CUML DTH</t>
  </si>
  <si>
    <t>FSA CUML $</t>
  </si>
  <si>
    <t>NYMEX</t>
  </si>
  <si>
    <t>HEDGE VS INDEX</t>
  </si>
  <si>
    <t>HEDGE COST</t>
  </si>
  <si>
    <t>STORAGE VS INDEX</t>
  </si>
  <si>
    <t>STORAGE VS INDEX COSTS</t>
  </si>
  <si>
    <t>DTI - HENRICO LATERAL O&amp;M</t>
  </si>
  <si>
    <t>CUML DTH DIFF</t>
  </si>
  <si>
    <t>CUML $ DIFF</t>
  </si>
  <si>
    <t>DEMAND COSTS</t>
  </si>
  <si>
    <t>DEMAND REVENUE ($1.50/MCF)</t>
  </si>
  <si>
    <t>DEMAND COSTS VS REVENUES ($1.50/MCF)</t>
  </si>
  <si>
    <t>Apr-Oct</t>
  </si>
  <si>
    <t>Nov-Mar</t>
  </si>
  <si>
    <t>Monthly PGC Recovery</t>
  </si>
  <si>
    <t>APPALACHIAN (DTI SP)</t>
  </si>
  <si>
    <t>STORAGE INJECTIONS</t>
  </si>
  <si>
    <t>STORAGE WITHDRAWALS</t>
  </si>
  <si>
    <t>MONTHLY INDEX TOTAL  LESS STORAGE INJECTIONS</t>
  </si>
  <si>
    <t>STORAGE WITHRAWALS</t>
  </si>
  <si>
    <t>PGC Hedges</t>
  </si>
  <si>
    <t>Hedge vs</t>
  </si>
  <si>
    <t>Hedge Dates</t>
  </si>
  <si>
    <t>Delivery Months</t>
  </si>
  <si>
    <t>Type</t>
  </si>
  <si>
    <t>Dth/Day</t>
  </si>
  <si>
    <t>Total Dths</t>
  </si>
  <si>
    <t>Hedge $/Dth</t>
  </si>
  <si>
    <t>NYMEX or Index</t>
  </si>
  <si>
    <t>Total $</t>
  </si>
  <si>
    <t>Storage vs</t>
  </si>
  <si>
    <t>Storage Dths</t>
  </si>
  <si>
    <t>Storage WACOG</t>
  </si>
  <si>
    <t>Hedge &amp; Storage vs</t>
  </si>
  <si>
    <t>Hedge &amp; Storage Dths</t>
  </si>
  <si>
    <t>Hedge &amp; Storage WACOG</t>
  </si>
  <si>
    <t>RS MTH MCF</t>
  </si>
  <si>
    <t>RS MTH MCF GROWTH</t>
  </si>
  <si>
    <t>GS MTH MCF</t>
  </si>
  <si>
    <t>MS MTH MCF</t>
  </si>
  <si>
    <t>RS MTH MCF W/GROWTH</t>
  </si>
  <si>
    <t>GS MTH MCF W/GROWTH</t>
  </si>
  <si>
    <t>GS MTH MCF GROWTH</t>
  </si>
  <si>
    <t>FLEX MTH MCF - IAA</t>
  </si>
  <si>
    <t>FLEX MTH MCF - MODEL</t>
  </si>
  <si>
    <t>LVS MTH MCF - IAA</t>
  </si>
  <si>
    <t>LVS MTH MCF - MODEL</t>
  </si>
  <si>
    <t>NON-PGC MTH MCF - IAA</t>
  </si>
  <si>
    <t>NON-PGC MTH MCF - MODEL</t>
  </si>
  <si>
    <t>RS NRMLZD MTH MCF</t>
  </si>
  <si>
    <t>GS NRMLZD MTH MCF</t>
  </si>
  <si>
    <t>MS NRMLZD MTH MCF</t>
  </si>
  <si>
    <t>CIS NRMLZD MTH MCF</t>
  </si>
  <si>
    <t>LVS NRMLZD MTH MCF</t>
  </si>
  <si>
    <t>RS MTH MCF DIFF</t>
  </si>
  <si>
    <t>RS MTH MCF %DIFF</t>
  </si>
  <si>
    <t>RS NRMLZD MTH MCF DIFF</t>
  </si>
  <si>
    <t>RS NRMLZD MTH MCF %DIFF</t>
  </si>
  <si>
    <t>ACTUALS VS PROJECTIONS</t>
  </si>
  <si>
    <t>GS MTH MCF DIFF</t>
  </si>
  <si>
    <t>GS MTH MCF %DIFF</t>
  </si>
  <si>
    <t>GS NRMLZD MTH MCF DIFF</t>
  </si>
  <si>
    <t>GS NRMLZD MTH MCF %DIFF</t>
  </si>
  <si>
    <t>CIS MTH MCF DIFF</t>
  </si>
  <si>
    <t>CIS MTH MCF %DIFF</t>
  </si>
  <si>
    <t>CIS NRMLZD MTH MCF DIFF</t>
  </si>
  <si>
    <t>CIS NRMLZD MTH MCF %DIFF</t>
  </si>
  <si>
    <t>MS MTH MCF DIFF</t>
  </si>
  <si>
    <t>MS MTH MCF %DIFF</t>
  </si>
  <si>
    <t>MS NRMLZD MTH MCF DIFF</t>
  </si>
  <si>
    <t>MS NRMLZD MTH MCF %DIFF</t>
  </si>
  <si>
    <t>NORMAL MTH DD (PROJECTED)</t>
  </si>
  <si>
    <t>LVS NRMLZD MTH MCF DIFF</t>
  </si>
  <si>
    <t>LVS NRMLZD MTH MCF %DIFF</t>
  </si>
  <si>
    <t>NON-PGC NRMLZD MTH MCF DIFF</t>
  </si>
  <si>
    <t>NON-PGC NRMLZD MTH MCF %DIFF</t>
  </si>
  <si>
    <t>NRMLZD MTH MCF</t>
  </si>
  <si>
    <t>MTH ACTUALS VS PROJECTIONS</t>
  </si>
  <si>
    <t>MTH ACTUALS VS PROJECTIONS %</t>
  </si>
  <si>
    <t>CG DTHS-TS ACTUALS</t>
  </si>
  <si>
    <t>PGC UNIT COMMODITY COST</t>
  </si>
  <si>
    <t>PGC UNIT DEMAND COST</t>
  </si>
  <si>
    <t>PGC MTH UNIT COSTS &amp;  RATES ($M)</t>
  </si>
  <si>
    <t>PGC MTH SALES - ACTUAL VS PROJECTED</t>
  </si>
  <si>
    <t>PGC CUML SALES VARIANCES</t>
  </si>
  <si>
    <t>RS MTH SALES - ACTUAL VS PROJECTED</t>
  </si>
  <si>
    <t>RS MTH PROJECTED</t>
  </si>
  <si>
    <t>RS MTH ACTUAL</t>
  </si>
  <si>
    <t>RS MTH NRMLZD</t>
  </si>
  <si>
    <t>GS MTH SALES - ACTUAL VS PROJECTED</t>
  </si>
  <si>
    <t>GS MTH PROJECTED</t>
  </si>
  <si>
    <t>GS MTH ACTUAL</t>
  </si>
  <si>
    <t>GS MTH NRMLZD</t>
  </si>
  <si>
    <t>CIS MTH SALES - ACTUAL VS PROJECTED</t>
  </si>
  <si>
    <t>CIS MTH PROJECTED</t>
  </si>
  <si>
    <t>CIS MTH ACTUAL</t>
  </si>
  <si>
    <t>CIS MTH NRMLZD</t>
  </si>
  <si>
    <t>MS MTH SALES - ACTUAL VS PROJECTED</t>
  </si>
  <si>
    <t>MS MTH PROJECTED</t>
  </si>
  <si>
    <t>MS MTH ACTUAL</t>
  </si>
  <si>
    <t>MS MTH NRMLZD</t>
  </si>
  <si>
    <t>FS MTH MCF</t>
  </si>
  <si>
    <t>FS NRMLZD MTH MCF</t>
  </si>
  <si>
    <t>FS MTH MCF DIFF</t>
  </si>
  <si>
    <t>FS MTH MCF %DIFF</t>
  </si>
  <si>
    <t>FS NRMLZD MTH MCF DIFF</t>
  </si>
  <si>
    <t>FS NRMLZD MTH MCF %DIFF</t>
  </si>
  <si>
    <t>FS MTH SALES - ACTUAL VS PROJECTED</t>
  </si>
  <si>
    <t>FS MTH PROJECTED</t>
  </si>
  <si>
    <t>FS MTH ACTUAL</t>
  </si>
  <si>
    <t>FS MTH NRMLZD</t>
  </si>
  <si>
    <t>LVS MTH SALES - ACTUAL VS PROJECTED</t>
  </si>
  <si>
    <t>LVS MTH PROJECTED</t>
  </si>
  <si>
    <t>LVS MTH ACTUAL</t>
  </si>
  <si>
    <t>LVS MTH NRMLZD</t>
  </si>
  <si>
    <t>NON-PGC SALES - ACTUAL VS PROJECTED</t>
  </si>
  <si>
    <t>NON-PGC MTH PROJECTED</t>
  </si>
  <si>
    <t>NON-PGC MTH ACTUAL</t>
  </si>
  <si>
    <t>NON-PGC MTH NRMLZD</t>
  </si>
  <si>
    <t>TOTAL SALES - ACTUAL VS PROJECTED</t>
  </si>
  <si>
    <t>TOTAL MTH PROJECTED</t>
  </si>
  <si>
    <t>TOTAL MTH ACTUAL</t>
  </si>
  <si>
    <t>TOTAL MTH NRMLZD</t>
  </si>
  <si>
    <t>Current Rates</t>
  </si>
  <si>
    <t>TOTAL MTH MCF</t>
  </si>
  <si>
    <t>DTI HEDGE</t>
  </si>
  <si>
    <t>RS &amp; GS COUNT</t>
  </si>
  <si>
    <t>TOTAL NRMLZD MTH MCF DIFF</t>
  </si>
  <si>
    <t>TOTAL NRMLZD MTH MCF %DIFF</t>
  </si>
  <si>
    <t>DAILY INDEX TOTAL %</t>
  </si>
  <si>
    <t xml:space="preserve">DTI SWING VS FOM </t>
  </si>
  <si>
    <t xml:space="preserve">COL SWING VS FOM </t>
  </si>
  <si>
    <t>YR$/CUSTOMER</t>
  </si>
  <si>
    <t>MTH$/CUSTOMER</t>
  </si>
  <si>
    <t>RS,GS,MS Demand Revenue ($1.48/Mcf)</t>
  </si>
  <si>
    <t>RS,GS,MS Average Unit Demand Cost - Projected</t>
  </si>
  <si>
    <t>RS,GS,MS Demand Revenue ($1.50/Mcf) - Projected</t>
  </si>
  <si>
    <t>RS,GS,MS Mcfs - Projected</t>
  </si>
  <si>
    <t>RS,GS,MS Mcfs - Actual</t>
  </si>
  <si>
    <t>RS,GS,MS Mcfs - Actual vs Projected</t>
  </si>
  <si>
    <t>vs Prior FY</t>
  </si>
  <si>
    <t>RS,GS,MS Demand Revenue ($1.44/Mcf) - Projected</t>
  </si>
  <si>
    <t>RS,GS,MS  - Actual vs Projected Demand Revenue</t>
  </si>
  <si>
    <t>RS,GS,MS  - Actual vs Projected Cumlative Demand Revenue</t>
  </si>
  <si>
    <t>Non-PGC Demand Costs (LVS)</t>
  </si>
  <si>
    <t xml:space="preserve">DEMAND </t>
  </si>
  <si>
    <t>LVS UNIT DEMAND &amp; COMMODITY</t>
  </si>
  <si>
    <t>UNIT DEMAND</t>
  </si>
  <si>
    <t>UNIT COMMODITY COST</t>
  </si>
  <si>
    <t>UNIT DEMAND COST</t>
  </si>
  <si>
    <t>UNIT COST</t>
  </si>
  <si>
    <t>PROJ AVG UNIT DEMAND COST</t>
  </si>
  <si>
    <t>COSTS VS REVENUE</t>
  </si>
  <si>
    <t>DAILY INDEX VS MONTHLY INDEX</t>
  </si>
  <si>
    <t>DAILY INDEX VS MONTHLY INDEX COSTS</t>
  </si>
  <si>
    <t>YTD Revenue</t>
  </si>
  <si>
    <t>YTD Revenue vs YTD Costs</t>
  </si>
  <si>
    <t>RS,GS,MS PGC YTD Costs</t>
  </si>
  <si>
    <t xml:space="preserve">CIS YTD Commodity Costs </t>
  </si>
  <si>
    <t>PGC YTD Costs (w/o CIS Demand)</t>
  </si>
  <si>
    <t>PGC YTD Costs (with CIS Demand)</t>
  </si>
  <si>
    <t>RS,GS,MS PGC YTD Revenue</t>
  </si>
  <si>
    <t>RS,GS,MS YTD PGC Recovery</t>
  </si>
  <si>
    <t>CIS PGC YTD Revenue</t>
  </si>
  <si>
    <t>CIS YTD PGC Recovery</t>
  </si>
  <si>
    <t>Total PGC YTD Revenue</t>
  </si>
  <si>
    <t>YTD PGC Revenue</t>
  </si>
  <si>
    <t>YTD PGC Revenue - Fin Ops Rev Vol</t>
  </si>
  <si>
    <t>YTD Differences</t>
  </si>
  <si>
    <t>YTD DEMAND COSTS VS REVENUES ($1.50/MCF)</t>
  </si>
  <si>
    <t>PGC YTD GAS COST &amp; REVENUES ($M)</t>
  </si>
  <si>
    <t>PGC YTD COST &amp; REVENUES ($M)</t>
  </si>
  <si>
    <t>YTD NORMAL DD</t>
  </si>
  <si>
    <t>YTD ACTUAL  DD</t>
  </si>
  <si>
    <t>YTD DD DIFF</t>
  </si>
  <si>
    <t>% YTD DD DIFF</t>
  </si>
  <si>
    <t>YTD PGC DTH INTO PIPELINE</t>
  </si>
  <si>
    <t>YTD NON-PGC DTH INTO PIPELINE</t>
  </si>
  <si>
    <t>YTD TOTAL DTH INTO PIPELINE</t>
  </si>
  <si>
    <t>YTD PGC DTH AT COR</t>
  </si>
  <si>
    <t>YTD NON-PGC DTH AT COR</t>
  </si>
  <si>
    <t>YTD TOTAL DTH AT COR</t>
  </si>
  <si>
    <t>YTD CG DTHS-TS ACTUALS</t>
  </si>
  <si>
    <t>YTD ACTUALS VS PROJECTIONS</t>
  </si>
  <si>
    <t>YTD ACTUALS VS PROJECTIONS %</t>
  </si>
  <si>
    <t>YTD RS MTH MCF W/GROWTH</t>
  </si>
  <si>
    <t>YTD GS MTH MCF W/GROWTH</t>
  </si>
  <si>
    <t>YTD CIS MTH MCF</t>
  </si>
  <si>
    <t>YTD MS MTH MCF</t>
  </si>
  <si>
    <t>YTD PGC MTH MCF W/GROWTH</t>
  </si>
  <si>
    <t xml:space="preserve">YTD FLEX MTH MCF - IAA </t>
  </si>
  <si>
    <t>YTD FLEX MTH MCF - MODEL</t>
  </si>
  <si>
    <t>YTD LVS MCF - IAA</t>
  </si>
  <si>
    <t>YTD LVS MTH MCF - MODEL</t>
  </si>
  <si>
    <t>YTD NON-PGC MTH MCF - IAA</t>
  </si>
  <si>
    <t>YTD NON-PGC MTH MCF - MODEL</t>
  </si>
  <si>
    <t>YTD TOTAL MCF</t>
  </si>
  <si>
    <t>YTD RS MTH MCF</t>
  </si>
  <si>
    <t>YTD RS NRMLZD MTH MCF</t>
  </si>
  <si>
    <t>YTD GS MTH MCF</t>
  </si>
  <si>
    <t>YTDL GS NRMLZD MTH MCF</t>
  </si>
  <si>
    <t>YTD CIS NRMLZD MTH MCF</t>
  </si>
  <si>
    <t>YTD MS NRMLZD MTH MCF</t>
  </si>
  <si>
    <t>YTD PGC MTH MCF</t>
  </si>
  <si>
    <t>YTD PGC NRMLZD MTH MCF</t>
  </si>
  <si>
    <t>YTD FS MTH MCF</t>
  </si>
  <si>
    <t>YTD FLEX NRMLZD MTH MCF</t>
  </si>
  <si>
    <t>YTD LVS MTH MCF</t>
  </si>
  <si>
    <t>YTD LVS NRMLZD MTH MCF</t>
  </si>
  <si>
    <t>YTD NON-PGC MTH MCF</t>
  </si>
  <si>
    <t>YTD NON-PGC NRMLZD MTH MCF</t>
  </si>
  <si>
    <t>YTD MTH MCF</t>
  </si>
  <si>
    <t>RS YTD MCF DIFF</t>
  </si>
  <si>
    <t>RS YTD %DIFF</t>
  </si>
  <si>
    <t>RS NRMLZD YTD MCF DIFF</t>
  </si>
  <si>
    <t>RS NRMLZD YTD MCF %DIFF</t>
  </si>
  <si>
    <t>GS YTD MCF DIFF</t>
  </si>
  <si>
    <t>GS YTD MCF %DIFF</t>
  </si>
  <si>
    <t>GS NRMLZD YTD MCF DIFF</t>
  </si>
  <si>
    <t>GS NRMLZD YTD MCF %DIFF</t>
  </si>
  <si>
    <t>CIS YTD MCF DIFF</t>
  </si>
  <si>
    <t>CIS YTD MCF %DIFF</t>
  </si>
  <si>
    <t>CIS NRMLZD YTD MCF DIFF</t>
  </si>
  <si>
    <t>CIS NRMLZD YTD MCF %DIFF</t>
  </si>
  <si>
    <t>MS YTD MCF DIFF</t>
  </si>
  <si>
    <t>MS YTD MCF %DIFF</t>
  </si>
  <si>
    <t>MS NRMLZD YTD MCF DIFF</t>
  </si>
  <si>
    <t>MS NRMLZD YTD MCF %DIFF</t>
  </si>
  <si>
    <t>PGC YTD MCF DIFF</t>
  </si>
  <si>
    <t>PGC YTD MCF %DIFF</t>
  </si>
  <si>
    <t>PGC NRMLZD YTD MCF DIFF</t>
  </si>
  <si>
    <t>PGC NRMLZD YTD MCF %DIFF</t>
  </si>
  <si>
    <t>FS YTD MCF DIFF</t>
  </si>
  <si>
    <t>FS YTD MCF %DIFF</t>
  </si>
  <si>
    <t>FS NRMLZD YTD MCF DIFF</t>
  </si>
  <si>
    <t>FS NRMLZD YTD MCF %DIFF</t>
  </si>
  <si>
    <t>LVS YTD MCF DIFF</t>
  </si>
  <si>
    <t>LVS YTD MCF %DIFF</t>
  </si>
  <si>
    <t>LVS NRMLZD YTD MCF DIFF</t>
  </si>
  <si>
    <t>LVS NRMLZD YTD MCF %DIFF</t>
  </si>
  <si>
    <t>NON-PGC YTD MCF DIFF</t>
  </si>
  <si>
    <t>NON-PGC YTD MCF %DIFF</t>
  </si>
  <si>
    <t>NON-PGC NRMLZD YTD MCF DIFF</t>
  </si>
  <si>
    <t>NON-PGC NRMLZD YTD MCF %DIFF</t>
  </si>
  <si>
    <t>TOTAL YTD MCF DIFF</t>
  </si>
  <si>
    <t>TOTAL YTD MCF %DIFF</t>
  </si>
  <si>
    <t>TOTAL NRMLZD YTD MCF DIFF</t>
  </si>
  <si>
    <t>TOTAL NRMLZD YTD MCF %DIFF</t>
  </si>
  <si>
    <t>NRMLZD YTD MTH MCF</t>
  </si>
  <si>
    <t>GS</t>
  </si>
  <si>
    <t>MS</t>
  </si>
  <si>
    <t>FS</t>
  </si>
  <si>
    <t>PGC%</t>
  </si>
  <si>
    <t>NON-PGC%</t>
  </si>
  <si>
    <t>MTH SALES PROJECTIONS BY RATE</t>
  </si>
  <si>
    <t>AVG DAILY SALES PROJECTIONS BY RATE</t>
  </si>
  <si>
    <t>BASE PRE-PAY</t>
  </si>
  <si>
    <t>PGC BASE</t>
  </si>
  <si>
    <t>LVS BASE</t>
  </si>
  <si>
    <t>REMAINDER</t>
  </si>
  <si>
    <t>% of PGC Costs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</si>
  <si>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</si>
  <si>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</si>
  <si>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</si>
  <si>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</si>
  <si>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</si>
  <si>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</si>
  <si>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</si>
  <si>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</si>
  <si>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</si>
  <si>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</si>
  <si>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</si>
  <si>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</si>
  <si>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LVS &amp; FS</t>
  </si>
  <si>
    <t>FT GAS - HEDGE WACOG</t>
  </si>
  <si>
    <t>12 MTH MOVING AVG BTU</t>
  </si>
  <si>
    <t>RS SALES PER HOUSE</t>
  </si>
  <si>
    <t>EIA</t>
  </si>
  <si>
    <t>EIA vs NYMEX</t>
  </si>
  <si>
    <t>FSA GSS COR WACOG</t>
  </si>
  <si>
    <t>GSS WACOG VS FSA GSS WACOG</t>
  </si>
  <si>
    <t>MMDth</t>
  </si>
  <si>
    <t>$/Dth</t>
  </si>
  <si>
    <t>$M</t>
  </si>
  <si>
    <t>HEDGED DTHS</t>
  </si>
  <si>
    <t>HEDGED MCFS</t>
  </si>
  <si>
    <t>MCF DIFFERENCE</t>
  </si>
  <si>
    <t>COL GULF SALE BACK</t>
  </si>
  <si>
    <t>DTI SELL BACK</t>
  </si>
  <si>
    <t>COL GAS SELL BACK</t>
  </si>
  <si>
    <t>11 SUM INJ</t>
  </si>
  <si>
    <t>% DIFF</t>
  </si>
  <si>
    <t>COLUMBIA BASELOAD DTH @ COR</t>
  </si>
  <si>
    <t>COLUMBIA SWING DTH @ COR</t>
  </si>
  <si>
    <t>TRANSCO BASELOAD DTH @ COR VIA EMPORIA</t>
  </si>
  <si>
    <t>DTI BASELOAD DTH @ COR</t>
  </si>
  <si>
    <t>DTI GSS BASELOAD DTH @ COR</t>
  </si>
  <si>
    <t>DTI SWING DTH @ COR</t>
  </si>
  <si>
    <t>MTH PURCH REQ %</t>
  </si>
  <si>
    <t>%PGC Reqs</t>
  </si>
  <si>
    <t>NYMEX + BASIS</t>
  </si>
  <si>
    <t>PGC Storage (75% Planned Use)</t>
  </si>
  <si>
    <t>HURRICANE</t>
  </si>
  <si>
    <t>FT GAS - MGAG PREPAY MTH DTH - COLUMBIA</t>
  </si>
  <si>
    <t>FT GAS - MGAG PREPAY DTH/DAY - COLUMBIA</t>
  </si>
  <si>
    <t>FT GAS - MGAG PREPAY COST - COLUMBIA</t>
  </si>
  <si>
    <t>FT GAS - MGAG PREPAY $/DTH - COLUMBIA</t>
  </si>
  <si>
    <t>FT GAS - PREPAY,HEDGE &amp; INDEX WACOG</t>
  </si>
  <si>
    <t>HEDGE POLICY LIMITS - PGC CITY GATE DTHS/DAY</t>
  </si>
  <si>
    <t>HEDGE POLICY LIMITS - PGC STORAGE INJECTIONS DTHS/DAY</t>
  </si>
  <si>
    <t>HEDGE POLICY LIMITS - NON-PGC CITY GATE DTHS/DAY</t>
  </si>
  <si>
    <t>HEDGE POLICY LIMITS - TOTAL DTHS/DAY</t>
  </si>
  <si>
    <t>HEDGE POLICY LIMITS - PGC CITY GATE MTH DTH</t>
  </si>
  <si>
    <t>HEDGE POLICY LIMITS - PGC STORAGE INJECTIONS MTH DTH</t>
  </si>
  <si>
    <t>HEDGE POLICY LIMITS - NON-PGC CITY GATE MTH DTH</t>
  </si>
  <si>
    <t>HEDGE POLICY LIMITS - TOTAL CITY GATE MTH DTH</t>
  </si>
  <si>
    <t>Prepayment Discounts</t>
  </si>
  <si>
    <t>COLUMBIA INVOICE - SEPARATED BY CONTRACT</t>
  </si>
  <si>
    <t>FT GAS - COSTLESS COLLAR PGC HEDGE MTH DTH - DTI</t>
  </si>
  <si>
    <t>FT GAS - COSTLESS COLLAR PGC HEDGE DTH/DAY - DTI</t>
  </si>
  <si>
    <t>FT GAS - COSTLESS COLLAR PGC COST - DTI</t>
  </si>
  <si>
    <t>FT GAS - COSTLESS COLLAR PGC $/DTH - DTI</t>
  </si>
  <si>
    <t>FT GAS - FIXED PRICE PGC HEDGE MTH DTH - COLUMBIA</t>
  </si>
  <si>
    <t>FT GAS - FIXED PRICE PGC HEDGE DTH/DAY - COLUMBIA</t>
  </si>
  <si>
    <t>FT GAS - FIXED PRICE PGC HEDGE COST - COLUMBIA</t>
  </si>
  <si>
    <t>FT GAS - FIXED PRICE PGC HEDGE $/DTH - COLUMBIA</t>
  </si>
  <si>
    <t>FT GAS - FIXED PRICE PGC HEDGE MTH DTH - DTI</t>
  </si>
  <si>
    <t>FT GAS - FIXED PRICE PGC HEDGE DTH/DAY - DTI</t>
  </si>
  <si>
    <t>FT GAS - FIXED PRICE PGC HEDGE COST - DTI</t>
  </si>
  <si>
    <t>FT GAS - FIXED PRICE PGC HEDGE $/DTH - DTI</t>
  </si>
  <si>
    <t>FT GAS - FIXED PRICE NON-PGC HEDGE MTH DTH - COLUMBIA</t>
  </si>
  <si>
    <t>FT GAS - FIXED PRICE NON-PGC HEDGE DTH/DAY - COLUMBIA</t>
  </si>
  <si>
    <t>FT GAS - FIXED PRICE NON-PGC HEDGE COST - COLUMBIA</t>
  </si>
  <si>
    <t>FT GAS - FIXED PRICE NON-PGC HEDGE $/DTH - COLUMBIA</t>
  </si>
  <si>
    <t>HEDGED DTHS @ BURNERTIP (2.5% COR LOSS)</t>
  </si>
  <si>
    <t>Fixed Price - Columbia</t>
  </si>
  <si>
    <t>FT GAS - FIXED PRICE NON-PGC HEDGE MTH DTH - TRANSCO</t>
  </si>
  <si>
    <t>FT GAS - FIXED PRICE NON-PGC HEDGE DTH/DAY - TRANSCO</t>
  </si>
  <si>
    <t>FT GAS - FIXED PRICE NON-PGC HEDGE COST - TRANSCO</t>
  </si>
  <si>
    <t>FT GAS - FIXED PRICE NON-PGC HEDGE $/DTH - TRANSCO</t>
  </si>
  <si>
    <t>Moore, Flossie - DPU</t>
  </si>
  <si>
    <t>Edwards, Yolanda W. - DPU</t>
  </si>
  <si>
    <t>Cunningham, Carolyn G. - DPU</t>
  </si>
  <si>
    <t>Pipeline Refund</t>
  </si>
  <si>
    <t>FT GAS - TCO BASIS</t>
  </si>
  <si>
    <t>RMI 10% to 50%</t>
  </si>
  <si>
    <t>MGAG Deal 1</t>
  </si>
  <si>
    <t>Tot $%</t>
  </si>
  <si>
    <t>PGC $%</t>
  </si>
  <si>
    <t>PGC MMDth%</t>
  </si>
  <si>
    <t>Tot MMDth%</t>
  </si>
  <si>
    <t>SST  - INJ</t>
  </si>
  <si>
    <t>GSS TRANSFER DTH</t>
  </si>
  <si>
    <t>Other Supply</t>
  </si>
  <si>
    <t>Columbia Yr Baseload</t>
  </si>
  <si>
    <t>Transco Yr Base (10K/day) - Future</t>
  </si>
  <si>
    <t>DTI Winter Base</t>
  </si>
  <si>
    <t>DTI Storage</t>
  </si>
  <si>
    <t>Total Baseload Supply</t>
  </si>
  <si>
    <t>Warm Year Swing Supply</t>
  </si>
  <si>
    <t>Normal Year Swing Supply</t>
  </si>
  <si>
    <t xml:space="preserve">Cold Year Swing </t>
  </si>
  <si>
    <t xml:space="preserve"> Columbia</t>
  </si>
  <si>
    <t>DAILY INDEX TOTAL - DTI</t>
  </si>
  <si>
    <t>DAILY INDEX TOTAL - COLUMBIA</t>
  </si>
  <si>
    <t>DAILY INDEX TOTAL - DTI % OF SWING TOTAL</t>
  </si>
  <si>
    <t>DAILY INDEX TOTAL - COLUMBIA % OF SWING TOTAL</t>
  </si>
  <si>
    <t>FT GAS - PGC HEDGE MTH DTH</t>
  </si>
  <si>
    <t>FT GAS - PGC HEDGE DTH/DAY</t>
  </si>
  <si>
    <t>HEDGE POLICY LIMITS - PGC CITY GATE + STORAGE INJECTIONS DTHS/DAY</t>
  </si>
  <si>
    <t>HEDGE POLICY LIMITS - PGC CITY GATE + STORAGE INJECTIONS MTH DTH</t>
  </si>
  <si>
    <t>FT GAS - NON-PGC HEDGE DTH/DAY</t>
  </si>
  <si>
    <t>FT GAS - NON-PGC HEDGE MTH DTH</t>
  </si>
  <si>
    <t>% REQS</t>
  </si>
  <si>
    <t>FT GAS - PGC HEDGE MTH DTH % OF PGC CITY GATE + STOI REQS</t>
  </si>
  <si>
    <t>FT GAS - PGC HEDGE MTH DTH % OF PGC POLICY LIMIT</t>
  </si>
  <si>
    <t>FT GAS - COLLAR PGC HEDGE MTH DTH - COLUMBIA</t>
  </si>
  <si>
    <t>FT GAS - COLLAR PGC HEDGE DTH/DAY - COLUMBIA</t>
  </si>
  <si>
    <t>FT GAS - COLLAR PGC COST - COLUMBIA</t>
  </si>
  <si>
    <t>FT GAS - COLLAR PGC $/DTH - COLUMBIA</t>
  </si>
  <si>
    <t>FT GAS - COLLAR PGC HEDGE MTH DTH - DTI</t>
  </si>
  <si>
    <t>FT GAS - COLLAR PGC HEDGE DTH/DAY - DTI</t>
  </si>
  <si>
    <t>FT GAS - COLLAR PGC COST - DTI</t>
  </si>
  <si>
    <t>FT GAS - COLLAR PGC $/DTH - DTI</t>
  </si>
  <si>
    <t>Collar - Columbia</t>
  </si>
  <si>
    <t>FT GAS - CAP PGC HEDGE MTH DTH - COLUMBIA</t>
  </si>
  <si>
    <t>FT GAS - CAP PGC HEDGE DTH/DAY - COLUMBIA</t>
  </si>
  <si>
    <t>FT GAS - CAP PGC COST - COLUMBIA</t>
  </si>
  <si>
    <t>FT GAS - CAP PGC $/DTH - COLUMBIA</t>
  </si>
  <si>
    <t>HEDGE</t>
  </si>
  <si>
    <t>NOV-MAR FT GAS SUPPLY</t>
  </si>
  <si>
    <t>BP GAS SUPPLY</t>
  </si>
  <si>
    <t>DAILY</t>
  </si>
  <si>
    <t>DAILY%</t>
  </si>
  <si>
    <t>FT+STOR</t>
  </si>
  <si>
    <t>BP Asset Mgmt Ends</t>
  </si>
  <si>
    <t>1112 TOTALS</t>
  </si>
  <si>
    <t>11-12</t>
  </si>
  <si>
    <t>vs 1011</t>
  </si>
  <si>
    <t>12 SUM INJ</t>
  </si>
  <si>
    <t>PIPELINE TOTAL</t>
  </si>
  <si>
    <t>COL GULF FOM INDEX (BP,Conoco,MGAG)</t>
  </si>
  <si>
    <t>COL GULF HEDGE (BP,Conoco,MGAG)</t>
  </si>
  <si>
    <t>DTI TOTAL (INCL VNG)</t>
  </si>
  <si>
    <t>Comparison of Hedge Contracts and Storage vs Market</t>
  </si>
  <si>
    <t xml:space="preserve">FT - Zn 2 to LEIDY </t>
  </si>
  <si>
    <t xml:space="preserve">NYMEX </t>
  </si>
  <si>
    <t>Mcfs</t>
  </si>
  <si>
    <t>Dths</t>
  </si>
  <si>
    <t>PROJECTED VS ACTUAL CG DTHS</t>
  </si>
  <si>
    <t>Gas Control CG Dths less TS</t>
  </si>
  <si>
    <t>Difference</t>
  </si>
  <si>
    <t>% Difference</t>
  </si>
  <si>
    <t>SOUTH TX  (TRANSCO ZN1)</t>
  </si>
  <si>
    <t>LA - ONSHORE SOUTH (TRANSCO ZN2&amp;3, COL ML)</t>
  </si>
  <si>
    <t>MGAG Columbia Winter Base</t>
  </si>
  <si>
    <t>MGAG Columbia Storage</t>
  </si>
  <si>
    <t>1213 TOTALS</t>
  </si>
  <si>
    <t>12-13</t>
  </si>
  <si>
    <t>1112</t>
  </si>
  <si>
    <t>1213</t>
  </si>
  <si>
    <t>COLUMBIA BASELOAD DTH @ COR - MGAG</t>
  </si>
  <si>
    <t>COLUMBIA FSS BASELOAD DTH @ COR - MGAG</t>
  </si>
  <si>
    <t>13 SUM INJ</t>
  </si>
  <si>
    <t>vs 1112</t>
  </si>
  <si>
    <t>FUTURE Deal</t>
  </si>
  <si>
    <t>FY2011-12</t>
  </si>
  <si>
    <t>BP ENERGY INVOICE TOTAL W/O REV SHARE CREDIT</t>
  </si>
  <si>
    <t>NON-PGC Hedges</t>
  </si>
  <si>
    <t>%NON-PGC Reqs</t>
  </si>
  <si>
    <t>Non-PGC Billed and Uncollected</t>
  </si>
  <si>
    <t>Total Non-PGC Costs with Billed and Uncollected</t>
  </si>
  <si>
    <t>YTD PGC Billed and Uncollected</t>
  </si>
  <si>
    <t>PGC Billed and Uncollected</t>
  </si>
  <si>
    <t>Total PGC Costs (w/o CIS Demand) and PGC Billed and Uncollected</t>
  </si>
  <si>
    <t>PGC YTD Costs (w/o CIS Demand) and PGC Billed and Uncollected</t>
  </si>
  <si>
    <t>HEDGED DAILY DTHS @ COR (4% PIPELINE LOSS)</t>
  </si>
  <si>
    <t>PGC FY1112 Hedge Totals</t>
  </si>
  <si>
    <t>PGC FY1112 Hedge &amp; Storage</t>
  </si>
  <si>
    <t>FTNN-GSS</t>
  </si>
  <si>
    <t>Pfizer (Wyeth Pharm) - Moore</t>
  </si>
  <si>
    <t>VCU - Edwards</t>
  </si>
  <si>
    <t>Virg. Hosp. Laundry - Edwards</t>
  </si>
  <si>
    <t>World Color-Quebecor - Moore</t>
  </si>
  <si>
    <t>ACTUAL MTH DD (NWS)</t>
  </si>
  <si>
    <t>1314 TOTALS</t>
  </si>
  <si>
    <t>Model vs Winter regression</t>
  </si>
  <si>
    <t>14 SUM INJ</t>
  </si>
  <si>
    <t>FY2012-13</t>
  </si>
  <si>
    <t>13-14</t>
  </si>
  <si>
    <t>vs 1213</t>
  </si>
  <si>
    <t>1314</t>
  </si>
  <si>
    <t>1112Totals</t>
  </si>
  <si>
    <t>FY1112</t>
  </si>
  <si>
    <t>FY2013-14</t>
  </si>
  <si>
    <t>ACTUALS</t>
  </si>
  <si>
    <t>NGV MTH MCF - FPM</t>
  </si>
  <si>
    <t>YTD NGV MTH MCF - FPM</t>
  </si>
  <si>
    <t>NGV MTH MCF</t>
  </si>
  <si>
    <t>YTD NGV MTH MCF</t>
  </si>
  <si>
    <t>NGV MTH MCF DIFF</t>
  </si>
  <si>
    <t>NGV MTH MCF %DIFF</t>
  </si>
  <si>
    <t>NGV YTD MCF DIFF</t>
  </si>
  <si>
    <t>NGV YTD MCF %DIFF</t>
  </si>
  <si>
    <t>NGV NRMLZD MTH MCF DIFF</t>
  </si>
  <si>
    <t>NGV NRMLZD MTH MCF %DIFF</t>
  </si>
  <si>
    <t>NGV NRMLZD YTD MCF DIFF</t>
  </si>
  <si>
    <t>NGV NRMLZD YTD MCF %DIFF</t>
  </si>
  <si>
    <t>NON-PGC MTH MCF (incl NGV)</t>
  </si>
  <si>
    <t>A C T U A L S</t>
  </si>
  <si>
    <t xml:space="preserve">     NGV Gas Cost</t>
  </si>
  <si>
    <t>PGC FY1213 Hedge Totals</t>
  </si>
  <si>
    <t>PGC FY1213 Hedge &amp; Storage</t>
  </si>
  <si>
    <t>NON-PGC NRMLZD MTH MCF (incl NGV)</t>
  </si>
  <si>
    <t>UNIT COMMODITY COST VS NYMEX</t>
  </si>
  <si>
    <t>`</t>
  </si>
  <si>
    <t>11/1/10,2/28/11,3/10/11,9/7/11,9/15/11,10/21/11,11/1/11,11/7/11</t>
  </si>
  <si>
    <t xml:space="preserve">Jul11-Jun12 </t>
  </si>
  <si>
    <t>Kinder Morgan - Cunningham</t>
  </si>
  <si>
    <t>Unifirst - Moore</t>
  </si>
  <si>
    <t>2008</t>
  </si>
  <si>
    <t>2009</t>
  </si>
  <si>
    <t>2010</t>
  </si>
  <si>
    <t>2011</t>
  </si>
  <si>
    <t>2012</t>
  </si>
  <si>
    <t>2013</t>
  </si>
  <si>
    <t>PIPELINE FUEL</t>
  </si>
  <si>
    <t>COR LOSS</t>
  </si>
  <si>
    <t>BTU FACTOR</t>
  </si>
  <si>
    <t>RECEIPT</t>
  </si>
  <si>
    <t>CG</t>
  </si>
  <si>
    <t>Burner</t>
  </si>
  <si>
    <t>$/CCF</t>
  </si>
  <si>
    <t>MMDTH</t>
  </si>
  <si>
    <t>BCF</t>
  </si>
  <si>
    <t>DISTRIBUTION</t>
  </si>
  <si>
    <t>PIPELINE DEMAND</t>
  </si>
  <si>
    <t>GAS COMMODITY</t>
  </si>
  <si>
    <t>PGC TOTAL</t>
  </si>
  <si>
    <t>% of TOTAL COST</t>
  </si>
  <si>
    <t>HEDGED</t>
  </si>
  <si>
    <t>INDEX</t>
  </si>
  <si>
    <t>STORAGE</t>
  </si>
  <si>
    <t>HEDGED + STORAGE</t>
  </si>
  <si>
    <t>9/15/11/11/7/11,1/5/12,4/4/12</t>
  </si>
  <si>
    <t xml:space="preserve">Jul12-Jun13 </t>
  </si>
  <si>
    <t>PGC FY1314 Hedge Totals</t>
  </si>
  <si>
    <t>4/4/12</t>
  </si>
  <si>
    <t xml:space="preserve">Jul13-Oct13 </t>
  </si>
  <si>
    <t>PGC FY1314 Hedge &amp; Storage</t>
  </si>
  <si>
    <t>4/26/2011,4/24/12</t>
  </si>
  <si>
    <t>Jul11-Jun12</t>
  </si>
  <si>
    <t>Jul12-Apr13</t>
  </si>
  <si>
    <t>Monthly PGC Recovery (Millions)</t>
  </si>
  <si>
    <t>Cumulative PGC Recovery (Millions)</t>
  </si>
  <si>
    <t>Citygate Dths based on Sales (Btu 1.04)</t>
  </si>
  <si>
    <t>TRANSCO ZN3 - DAILY</t>
  </si>
  <si>
    <t>EIA 10Jul12</t>
  </si>
  <si>
    <t xml:space="preserve">University of Richmond </t>
  </si>
  <si>
    <t>VMFA</t>
  </si>
  <si>
    <t>HCA-Forest - Moore</t>
  </si>
  <si>
    <t>HCA-Parham - Moore</t>
  </si>
  <si>
    <t>Henrico County - Moore</t>
  </si>
  <si>
    <t>Standex Engraving - Moore</t>
  </si>
  <si>
    <t>Saint Catherines - Cunningham</t>
  </si>
  <si>
    <t>Bunge Oil - Cunningham</t>
  </si>
  <si>
    <t>Va DFS - Moore X</t>
  </si>
  <si>
    <t>Dominion Packaging - Cunningham X</t>
  </si>
  <si>
    <t>Fareva (part of Pfizer load) - Cunningham X</t>
  </si>
  <si>
    <t>HCA - Chippenham - Edwards</t>
  </si>
  <si>
    <t>HCA - Henrico Drs Retreat - Edwards</t>
  </si>
  <si>
    <t>COLUMBIA</t>
  </si>
  <si>
    <t>TOTALS</t>
  </si>
  <si>
    <t>CONOCOPHILLIPS GAS SUPPLY</t>
  </si>
  <si>
    <t>MGAG GAS SUPPLY</t>
  </si>
  <si>
    <t>SUPPLY TOTALS</t>
  </si>
  <si>
    <t>VS GAS TAB  DIFFERENCE ARE SELL BACKS</t>
  </si>
  <si>
    <t>% of Total</t>
  </si>
</sst>
</file>

<file path=xl/styles.xml><?xml version="1.0" encoding="utf-8"?>
<styleSheet xmlns="http://schemas.openxmlformats.org/spreadsheetml/2006/main">
  <numFmts count="28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164" formatCode="hh:mm_)"/>
    <numFmt numFmtId="165" formatCode="&quot;$&quot;#,##0.0000_);\(&quot;$&quot;#,##0.0000\)"/>
    <numFmt numFmtId="166" formatCode="General_)"/>
    <numFmt numFmtId="167" formatCode="&quot;$&quot;#,##0.000_);\(&quot;$&quot;#,##0.000\)"/>
    <numFmt numFmtId="168" formatCode="0.0%"/>
    <numFmt numFmtId="169" formatCode="&quot;$&quot;#,##0.000_);[Red]\(&quot;$&quot;#,##0.000\)"/>
    <numFmt numFmtId="170" formatCode="#,##0.000"/>
    <numFmt numFmtId="171" formatCode="#,##0.000_);[Red]\(#,##0.000\)"/>
    <numFmt numFmtId="172" formatCode="&quot;$&quot;#,##0.00"/>
    <numFmt numFmtId="173" formatCode="&quot;$&quot;#,##0"/>
    <numFmt numFmtId="174" formatCode="&quot;$&quot;#,##0.000"/>
    <numFmt numFmtId="175" formatCode="#,##0.0"/>
    <numFmt numFmtId="176" formatCode="dd\-mmm\-yy"/>
    <numFmt numFmtId="177" formatCode="mmmm\ d\,\ yyyy"/>
    <numFmt numFmtId="178" formatCode="0.0"/>
    <numFmt numFmtId="179" formatCode="&quot;$&quot;#,##0.0"/>
    <numFmt numFmtId="180" formatCode="&quot;$&quot;#,##0.0_);[Red]\(&quot;$&quot;#,##0.0\)"/>
    <numFmt numFmtId="181" formatCode="_(* #,##0_);_(* \(#,##0\);_(* &quot;-&quot;??_);_(@_)"/>
    <numFmt numFmtId="182" formatCode="&quot;$&quot;#,##0.0000"/>
    <numFmt numFmtId="183" formatCode="[$-409]d\-mmm\-yy;@"/>
    <numFmt numFmtId="184" formatCode="[$-409]mmm\-yy;@"/>
    <numFmt numFmtId="185" formatCode="0.000"/>
    <numFmt numFmtId="186" formatCode="m/d/yyyy;@"/>
    <numFmt numFmtId="187" formatCode="0_)"/>
  </numFmts>
  <fonts count="23">
    <font>
      <sz val="12"/>
      <name val="Helv"/>
    </font>
    <font>
      <sz val="10"/>
      <name val="MS Sans Serif"/>
      <family val="2"/>
    </font>
    <font>
      <sz val="8"/>
      <color indexed="81"/>
      <name val="Tahoma"/>
      <family val="2"/>
    </font>
    <font>
      <sz val="12"/>
      <color indexed="81"/>
      <name val="Arial Narrow"/>
      <family val="2"/>
    </font>
    <font>
      <sz val="12"/>
      <color indexed="81"/>
      <name val="Tahoma"/>
      <family val="2"/>
    </font>
    <font>
      <sz val="16"/>
      <name val="Arial"/>
      <family val="2"/>
    </font>
    <font>
      <b/>
      <sz val="16"/>
      <name val="Arial"/>
      <family val="2"/>
    </font>
    <font>
      <b/>
      <u/>
      <sz val="16"/>
      <name val="Arial"/>
      <family val="2"/>
    </font>
    <font>
      <sz val="16"/>
      <color indexed="10"/>
      <name val="Arial"/>
      <family val="2"/>
    </font>
    <font>
      <sz val="16"/>
      <color indexed="8"/>
      <name val="Arial"/>
      <family val="2"/>
    </font>
    <font>
      <sz val="8"/>
      <name val="Helv"/>
    </font>
    <font>
      <b/>
      <sz val="20"/>
      <name val="Arial"/>
      <family val="2"/>
    </font>
    <font>
      <sz val="14"/>
      <color indexed="81"/>
      <name val="Tahoma"/>
      <family val="2"/>
    </font>
    <font>
      <b/>
      <sz val="36"/>
      <name val="Arial"/>
      <family val="2"/>
    </font>
    <font>
      <sz val="16"/>
      <name val="Helv"/>
    </font>
    <font>
      <b/>
      <sz val="8"/>
      <color indexed="81"/>
      <name val="Tahoma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Courier"/>
      <family val="3"/>
    </font>
    <font>
      <b/>
      <sz val="14"/>
      <color indexed="81"/>
      <name val="Tahoma"/>
      <family val="2"/>
    </font>
    <font>
      <sz val="16"/>
      <color indexed="81"/>
      <name val="Tahoma"/>
      <family val="2"/>
    </font>
    <font>
      <sz val="14"/>
      <color indexed="81"/>
      <name val="Arial"/>
      <family val="2"/>
    </font>
    <font>
      <sz val="16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8"/>
      </bottom>
      <diagonal/>
    </border>
  </borders>
  <cellStyleXfs count="6">
    <xf numFmtId="166" fontId="0" fillId="0" borderId="0"/>
    <xf numFmtId="40" fontId="1" fillId="0" borderId="0" applyFont="0" applyFill="0" applyBorder="0" applyAlignment="0" applyProtection="0"/>
    <xf numFmtId="8" fontId="1" fillId="0" borderId="0" applyFont="0" applyFill="0" applyBorder="0" applyAlignment="0" applyProtection="0"/>
    <xf numFmtId="0" fontId="16" fillId="0" borderId="0"/>
    <xf numFmtId="0" fontId="1" fillId="0" borderId="0"/>
    <xf numFmtId="187" fontId="18" fillId="0" borderId="0"/>
  </cellStyleXfs>
  <cellXfs count="497">
    <xf numFmtId="166" fontId="0" fillId="0" borderId="0" xfId="0"/>
    <xf numFmtId="166" fontId="5" fillId="0" borderId="0" xfId="0" applyFont="1"/>
    <xf numFmtId="166" fontId="6" fillId="0" borderId="0" xfId="0" applyFont="1" applyAlignment="1">
      <alignment horizontal="left"/>
    </xf>
    <xf numFmtId="3" fontId="6" fillId="0" borderId="0" xfId="0" applyNumberFormat="1" applyFont="1" applyAlignment="1">
      <alignment horizontal="left"/>
    </xf>
    <xf numFmtId="166" fontId="5" fillId="0" borderId="0" xfId="0" applyFont="1" applyAlignment="1">
      <alignment horizontal="left"/>
    </xf>
    <xf numFmtId="173" fontId="6" fillId="0" borderId="0" xfId="0" applyNumberFormat="1" applyFont="1" applyAlignment="1">
      <alignment horizontal="left"/>
    </xf>
    <xf numFmtId="173" fontId="5" fillId="0" borderId="0" xfId="0" applyNumberFormat="1" applyFont="1" applyAlignment="1">
      <alignment horizontal="left"/>
    </xf>
    <xf numFmtId="172" fontId="5" fillId="0" borderId="0" xfId="0" applyNumberFormat="1" applyFont="1" applyAlignment="1">
      <alignment horizontal="left"/>
    </xf>
    <xf numFmtId="166" fontId="6" fillId="2" borderId="0" xfId="0" applyFont="1" applyFill="1" applyAlignment="1">
      <alignment horizontal="left"/>
    </xf>
    <xf numFmtId="6" fontId="6" fillId="0" borderId="0" xfId="0" applyNumberFormat="1" applyFont="1" applyAlignment="1">
      <alignment horizontal="left"/>
    </xf>
    <xf numFmtId="166" fontId="5" fillId="0" borderId="0" xfId="0" applyFont="1" applyAlignment="1">
      <alignment horizontal="center"/>
    </xf>
    <xf numFmtId="166" fontId="6" fillId="0" borderId="0" xfId="0" applyFont="1" applyAlignment="1">
      <alignment horizontal="center"/>
    </xf>
    <xf numFmtId="166" fontId="6" fillId="0" borderId="0" xfId="0" quotePrefix="1" applyFont="1" applyAlignment="1">
      <alignment horizontal="center"/>
    </xf>
    <xf numFmtId="166" fontId="6" fillId="0" borderId="0" xfId="0" applyFont="1" applyFill="1" applyAlignment="1">
      <alignment horizontal="center"/>
    </xf>
    <xf numFmtId="17" fontId="6" fillId="0" borderId="0" xfId="0" applyNumberFormat="1" applyFont="1" applyFill="1" applyAlignment="1">
      <alignment horizontal="center"/>
    </xf>
    <xf numFmtId="37" fontId="5" fillId="0" borderId="0" xfId="0" applyNumberFormat="1" applyFont="1" applyFill="1" applyAlignment="1" applyProtection="1">
      <alignment horizontal="center"/>
    </xf>
    <xf numFmtId="172" fontId="5" fillId="0" borderId="0" xfId="0" applyNumberFormat="1" applyFont="1" applyAlignment="1">
      <alignment horizontal="center"/>
    </xf>
    <xf numFmtId="172" fontId="5" fillId="0" borderId="0" xfId="0" applyNumberFormat="1" applyFont="1" applyFill="1" applyAlignment="1">
      <alignment horizontal="center"/>
    </xf>
    <xf numFmtId="5" fontId="5" fillId="0" borderId="0" xfId="0" applyNumberFormat="1" applyFont="1" applyFill="1" applyAlignment="1" applyProtection="1">
      <alignment horizontal="center"/>
    </xf>
    <xf numFmtId="5" fontId="5" fillId="0" borderId="0" xfId="0" applyNumberFormat="1" applyFont="1" applyAlignment="1" applyProtection="1">
      <alignment horizontal="center"/>
    </xf>
    <xf numFmtId="7" fontId="5" fillId="0" borderId="0" xfId="0" applyNumberFormat="1" applyFont="1" applyAlignment="1">
      <alignment horizontal="center"/>
    </xf>
    <xf numFmtId="7" fontId="5" fillId="0" borderId="0" xfId="0" applyNumberFormat="1" applyFont="1" applyFill="1" applyAlignment="1">
      <alignment horizontal="center"/>
    </xf>
    <xf numFmtId="3" fontId="5" fillId="0" borderId="0" xfId="0" applyNumberFormat="1" applyFont="1" applyAlignment="1">
      <alignment horizontal="center"/>
    </xf>
    <xf numFmtId="7" fontId="5" fillId="0" borderId="0" xfId="0" applyNumberFormat="1" applyFont="1" applyFill="1" applyAlignment="1" applyProtection="1">
      <alignment horizontal="center"/>
    </xf>
    <xf numFmtId="166" fontId="5" fillId="0" borderId="0" xfId="0" applyFont="1" applyFill="1" applyAlignment="1">
      <alignment horizontal="center"/>
    </xf>
    <xf numFmtId="5" fontId="5" fillId="0" borderId="0" xfId="0" applyNumberFormat="1" applyFont="1" applyAlignment="1">
      <alignment horizontal="center"/>
    </xf>
    <xf numFmtId="5" fontId="5" fillId="0" borderId="0" xfId="0" applyNumberFormat="1" applyFont="1" applyFill="1" applyAlignment="1">
      <alignment horizontal="center"/>
    </xf>
    <xf numFmtId="3" fontId="5" fillId="3" borderId="0" xfId="0" applyNumberFormat="1" applyFont="1" applyFill="1" applyAlignment="1">
      <alignment horizontal="center"/>
    </xf>
    <xf numFmtId="3" fontId="5" fillId="0" borderId="0" xfId="0" applyNumberFormat="1" applyFont="1" applyFill="1" applyAlignment="1">
      <alignment horizontal="center"/>
    </xf>
    <xf numFmtId="8" fontId="5" fillId="0" borderId="0" xfId="0" applyNumberFormat="1" applyFont="1" applyAlignment="1">
      <alignment horizontal="center"/>
    </xf>
    <xf numFmtId="6" fontId="5" fillId="0" borderId="0" xfId="0" applyNumberFormat="1" applyFont="1" applyAlignment="1">
      <alignment horizontal="center"/>
    </xf>
    <xf numFmtId="3" fontId="5" fillId="0" borderId="0" xfId="0" applyNumberFormat="1" applyFont="1"/>
    <xf numFmtId="173" fontId="5" fillId="0" borderId="0" xfId="0" applyNumberFormat="1" applyFont="1" applyAlignment="1">
      <alignment horizontal="center"/>
    </xf>
    <xf numFmtId="166" fontId="6" fillId="0" borderId="0" xfId="0" applyFont="1"/>
    <xf numFmtId="172" fontId="6" fillId="0" borderId="0" xfId="0" applyNumberFormat="1" applyFont="1" applyAlignment="1">
      <alignment horizontal="center"/>
    </xf>
    <xf numFmtId="166" fontId="5" fillId="0" borderId="0" xfId="0" applyFont="1" applyFill="1" applyAlignment="1">
      <alignment horizontal="left"/>
    </xf>
    <xf numFmtId="37" fontId="5" fillId="0" borderId="0" xfId="0" applyNumberFormat="1" applyFont="1" applyFill="1" applyBorder="1" applyAlignment="1" applyProtection="1">
      <alignment horizontal="center"/>
    </xf>
    <xf numFmtId="166" fontId="5" fillId="0" borderId="0" xfId="0" applyFont="1" applyFill="1"/>
    <xf numFmtId="6" fontId="5" fillId="0" borderId="0" xfId="0" applyNumberFormat="1" applyFont="1" applyAlignment="1" applyProtection="1">
      <alignment horizontal="center"/>
    </xf>
    <xf numFmtId="173" fontId="5" fillId="0" borderId="0" xfId="0" applyNumberFormat="1" applyFont="1" applyFill="1" applyAlignment="1">
      <alignment horizontal="center"/>
    </xf>
    <xf numFmtId="5" fontId="5" fillId="0" borderId="1" xfId="0" applyNumberFormat="1" applyFont="1" applyFill="1" applyBorder="1" applyAlignment="1">
      <alignment horizontal="center"/>
    </xf>
    <xf numFmtId="5" fontId="5" fillId="0" borderId="0" xfId="0" applyNumberFormat="1" applyFont="1" applyFill="1" applyBorder="1" applyAlignment="1">
      <alignment horizontal="center"/>
    </xf>
    <xf numFmtId="173" fontId="6" fillId="3" borderId="0" xfId="0" applyNumberFormat="1" applyFont="1" applyFill="1" applyAlignment="1">
      <alignment horizontal="center"/>
    </xf>
    <xf numFmtId="173" fontId="6" fillId="0" borderId="0" xfId="0" applyNumberFormat="1" applyFont="1" applyAlignment="1">
      <alignment horizontal="center"/>
    </xf>
    <xf numFmtId="0" fontId="5" fillId="0" borderId="0" xfId="4" applyFont="1"/>
    <xf numFmtId="0" fontId="6" fillId="0" borderId="0" xfId="4" applyFont="1" applyAlignment="1">
      <alignment horizontal="center"/>
    </xf>
    <xf numFmtId="17" fontId="5" fillId="0" borderId="0" xfId="0" applyNumberFormat="1" applyFont="1" applyAlignment="1">
      <alignment horizontal="center"/>
    </xf>
    <xf numFmtId="0" fontId="5" fillId="0" borderId="0" xfId="4" applyFont="1" applyAlignment="1">
      <alignment horizontal="center"/>
    </xf>
    <xf numFmtId="3" fontId="5" fillId="0" borderId="0" xfId="4" applyNumberFormat="1" applyFont="1" applyAlignment="1">
      <alignment horizontal="center"/>
    </xf>
    <xf numFmtId="0" fontId="5" fillId="0" borderId="0" xfId="4" quotePrefix="1" applyFont="1" applyAlignment="1">
      <alignment horizontal="center"/>
    </xf>
    <xf numFmtId="165" fontId="5" fillId="0" borderId="0" xfId="4" applyNumberFormat="1" applyFont="1" applyAlignment="1">
      <alignment horizontal="center"/>
    </xf>
    <xf numFmtId="165" fontId="5" fillId="0" borderId="0" xfId="4" applyNumberFormat="1" applyFont="1" applyFill="1" applyAlignment="1">
      <alignment horizontal="center"/>
    </xf>
    <xf numFmtId="167" fontId="5" fillId="0" borderId="0" xfId="4" quotePrefix="1" applyNumberFormat="1" applyFont="1" applyAlignment="1">
      <alignment horizontal="center"/>
    </xf>
    <xf numFmtId="5" fontId="5" fillId="0" borderId="0" xfId="4" applyNumberFormat="1" applyFont="1" applyAlignment="1">
      <alignment horizontal="center"/>
    </xf>
    <xf numFmtId="5" fontId="5" fillId="0" borderId="0" xfId="4" applyNumberFormat="1" applyFont="1" applyFill="1" applyAlignment="1">
      <alignment horizontal="center"/>
    </xf>
    <xf numFmtId="17" fontId="5" fillId="0" borderId="0" xfId="0" applyNumberFormat="1" applyFont="1" applyFill="1" applyAlignment="1">
      <alignment horizontal="center"/>
    </xf>
    <xf numFmtId="3" fontId="5" fillId="0" borderId="0" xfId="4" applyNumberFormat="1" applyFont="1" applyFill="1"/>
    <xf numFmtId="3" fontId="5" fillId="0" borderId="0" xfId="4" applyNumberFormat="1" applyFont="1" applyFill="1" applyAlignment="1">
      <alignment horizontal="center"/>
    </xf>
    <xf numFmtId="3" fontId="5" fillId="0" borderId="0" xfId="4" applyNumberFormat="1" applyFont="1"/>
    <xf numFmtId="3" fontId="6" fillId="0" borderId="0" xfId="0" applyNumberFormat="1" applyFont="1" applyAlignment="1">
      <alignment horizontal="center"/>
    </xf>
    <xf numFmtId="172" fontId="5" fillId="0" borderId="0" xfId="4" applyNumberFormat="1" applyFont="1" applyFill="1"/>
    <xf numFmtId="172" fontId="5" fillId="0" borderId="0" xfId="4" quotePrefix="1" applyNumberFormat="1" applyFont="1" applyFill="1" applyAlignment="1">
      <alignment horizontal="center"/>
    </xf>
    <xf numFmtId="172" fontId="5" fillId="0" borderId="0" xfId="4" quotePrefix="1" applyNumberFormat="1" applyFont="1" applyAlignment="1">
      <alignment horizontal="center"/>
    </xf>
    <xf numFmtId="172" fontId="5" fillId="0" borderId="0" xfId="4" applyNumberFormat="1" applyFont="1"/>
    <xf numFmtId="173" fontId="5" fillId="0" borderId="0" xfId="4" applyNumberFormat="1" applyFont="1" applyFill="1"/>
    <xf numFmtId="173" fontId="5" fillId="0" borderId="0" xfId="4" applyNumberFormat="1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173" fontId="5" fillId="0" borderId="0" xfId="4" applyNumberFormat="1" applyFont="1" applyAlignment="1">
      <alignment horizontal="center"/>
    </xf>
    <xf numFmtId="173" fontId="5" fillId="0" borderId="0" xfId="4" applyNumberFormat="1" applyFont="1"/>
    <xf numFmtId="0" fontId="5" fillId="0" borderId="0" xfId="4" applyFont="1" applyFill="1"/>
    <xf numFmtId="0" fontId="5" fillId="0" borderId="0" xfId="4" applyFont="1" applyFill="1" applyAlignment="1">
      <alignment horizontal="center"/>
    </xf>
    <xf numFmtId="181" fontId="9" fillId="0" borderId="0" xfId="1" applyNumberFormat="1" applyFont="1" applyFill="1" applyAlignment="1">
      <alignment horizontal="center"/>
    </xf>
    <xf numFmtId="3" fontId="6" fillId="0" borderId="0" xfId="4" applyNumberFormat="1" applyFont="1" applyAlignment="1">
      <alignment horizontal="center"/>
    </xf>
    <xf numFmtId="172" fontId="5" fillId="0" borderId="0" xfId="4" applyNumberFormat="1" applyFont="1" applyFill="1" applyAlignment="1">
      <alignment horizontal="center"/>
    </xf>
    <xf numFmtId="172" fontId="5" fillId="0" borderId="0" xfId="4" applyNumberFormat="1" applyFont="1" applyAlignment="1">
      <alignment horizontal="center"/>
    </xf>
    <xf numFmtId="38" fontId="5" fillId="0" borderId="0" xfId="4" applyNumberFormat="1" applyFont="1" applyFill="1"/>
    <xf numFmtId="38" fontId="5" fillId="0" borderId="0" xfId="4" applyNumberFormat="1" applyFont="1" applyFill="1" applyAlignment="1">
      <alignment horizontal="center"/>
    </xf>
    <xf numFmtId="38" fontId="5" fillId="0" borderId="0" xfId="4" applyNumberFormat="1" applyFont="1" applyAlignment="1">
      <alignment horizontal="center"/>
    </xf>
    <xf numFmtId="38" fontId="5" fillId="0" borderId="0" xfId="4" applyNumberFormat="1" applyFont="1"/>
    <xf numFmtId="165" fontId="5" fillId="0" borderId="0" xfId="4" applyNumberFormat="1" applyFont="1" applyFill="1"/>
    <xf numFmtId="165" fontId="5" fillId="0" borderId="0" xfId="4" quotePrefix="1" applyNumberFormat="1" applyFont="1" applyFill="1" applyAlignment="1">
      <alignment horizontal="center"/>
    </xf>
    <xf numFmtId="174" fontId="5" fillId="0" borderId="0" xfId="0" applyNumberFormat="1" applyFont="1" applyFill="1" applyAlignment="1">
      <alignment horizontal="center"/>
    </xf>
    <xf numFmtId="165" fontId="5" fillId="0" borderId="0" xfId="0" applyNumberFormat="1" applyFont="1" applyAlignment="1">
      <alignment horizontal="center"/>
    </xf>
    <xf numFmtId="165" fontId="5" fillId="0" borderId="0" xfId="4" quotePrefix="1" applyNumberFormat="1" applyFont="1" applyAlignment="1">
      <alignment horizontal="center"/>
    </xf>
    <xf numFmtId="165" fontId="5" fillId="0" borderId="0" xfId="4" applyNumberFormat="1" applyFont="1"/>
    <xf numFmtId="5" fontId="5" fillId="0" borderId="0" xfId="4" applyNumberFormat="1" applyFont="1" applyFill="1"/>
    <xf numFmtId="5" fontId="5" fillId="0" borderId="0" xfId="4" applyNumberFormat="1" applyFont="1"/>
    <xf numFmtId="0" fontId="6" fillId="0" borderId="0" xfId="4" applyFont="1"/>
    <xf numFmtId="8" fontId="5" fillId="0" borderId="0" xfId="4" applyNumberFormat="1" applyFont="1" applyAlignment="1">
      <alignment horizontal="center"/>
    </xf>
    <xf numFmtId="167" fontId="5" fillId="0" borderId="0" xfId="4" applyNumberFormat="1" applyFont="1" applyFill="1" applyAlignment="1">
      <alignment horizontal="center"/>
    </xf>
    <xf numFmtId="167" fontId="5" fillId="0" borderId="0" xfId="4" applyNumberFormat="1" applyFont="1" applyAlignment="1">
      <alignment horizontal="center"/>
    </xf>
    <xf numFmtId="0" fontId="6" fillId="0" borderId="0" xfId="4" applyFont="1" applyFill="1" applyAlignment="1">
      <alignment horizontal="center"/>
    </xf>
    <xf numFmtId="167" fontId="5" fillId="0" borderId="0" xfId="4" applyNumberFormat="1" applyFont="1"/>
    <xf numFmtId="6" fontId="5" fillId="0" borderId="0" xfId="4" applyNumberFormat="1" applyFont="1" applyAlignment="1">
      <alignment horizontal="center"/>
    </xf>
    <xf numFmtId="5" fontId="6" fillId="0" borderId="0" xfId="4" applyNumberFormat="1" applyFont="1" applyAlignment="1">
      <alignment horizontal="center"/>
    </xf>
    <xf numFmtId="173" fontId="6" fillId="0" borderId="0" xfId="4" applyNumberFormat="1" applyFont="1"/>
    <xf numFmtId="172" fontId="6" fillId="0" borderId="0" xfId="4" applyNumberFormat="1" applyFont="1"/>
    <xf numFmtId="166" fontId="5" fillId="0" borderId="0" xfId="0" applyFont="1" applyAlignment="1">
      <alignment horizontal="right"/>
    </xf>
    <xf numFmtId="172" fontId="5" fillId="0" borderId="0" xfId="0" applyNumberFormat="1" applyFont="1" applyAlignment="1">
      <alignment horizontal="right"/>
    </xf>
    <xf numFmtId="172" fontId="5" fillId="0" borderId="0" xfId="0" applyNumberFormat="1" applyFont="1"/>
    <xf numFmtId="3" fontId="5" fillId="0" borderId="0" xfId="0" applyNumberFormat="1" applyFont="1" applyAlignment="1">
      <alignment horizontal="right"/>
    </xf>
    <xf numFmtId="38" fontId="5" fillId="0" borderId="0" xfId="0" applyNumberFormat="1" applyFont="1" applyFill="1" applyBorder="1" applyAlignment="1">
      <alignment horizontal="center"/>
    </xf>
    <xf numFmtId="9" fontId="5" fillId="0" borderId="0" xfId="0" applyNumberFormat="1" applyFont="1" applyAlignment="1">
      <alignment horizontal="right"/>
    </xf>
    <xf numFmtId="9" fontId="5" fillId="0" borderId="0" xfId="0" applyNumberFormat="1" applyFont="1"/>
    <xf numFmtId="173" fontId="5" fillId="0" borderId="0" xfId="0" applyNumberFormat="1" applyFont="1" applyAlignment="1">
      <alignment horizontal="right"/>
    </xf>
    <xf numFmtId="38" fontId="5" fillId="0" borderId="0" xfId="0" applyNumberFormat="1" applyFont="1"/>
    <xf numFmtId="38" fontId="5" fillId="0" borderId="0" xfId="0" applyNumberFormat="1" applyFont="1" applyAlignment="1">
      <alignment horizontal="right"/>
    </xf>
    <xf numFmtId="38" fontId="5" fillId="0" borderId="0" xfId="0" applyNumberFormat="1" applyFont="1" applyFill="1" applyAlignment="1">
      <alignment horizontal="center"/>
    </xf>
    <xf numFmtId="38" fontId="5" fillId="0" borderId="0" xfId="0" applyNumberFormat="1" applyFont="1" applyAlignment="1">
      <alignment horizontal="center"/>
    </xf>
    <xf numFmtId="6" fontId="5" fillId="0" borderId="0" xfId="0" applyNumberFormat="1" applyFont="1" applyAlignment="1">
      <alignment horizontal="right"/>
    </xf>
    <xf numFmtId="6" fontId="5" fillId="0" borderId="0" xfId="0" applyNumberFormat="1" applyFont="1"/>
    <xf numFmtId="3" fontId="5" fillId="0" borderId="0" xfId="0" applyNumberFormat="1" applyFont="1" applyAlignment="1">
      <alignment horizontal="left"/>
    </xf>
    <xf numFmtId="173" fontId="5" fillId="0" borderId="0" xfId="0" applyNumberFormat="1" applyFont="1"/>
    <xf numFmtId="166" fontId="6" fillId="0" borderId="0" xfId="0" applyFont="1" applyAlignment="1">
      <alignment horizontal="right"/>
    </xf>
    <xf numFmtId="172" fontId="6" fillId="0" borderId="0" xfId="0" applyNumberFormat="1" applyFont="1" applyAlignment="1">
      <alignment horizontal="right"/>
    </xf>
    <xf numFmtId="172" fontId="6" fillId="0" borderId="0" xfId="0" applyNumberFormat="1" applyFont="1"/>
    <xf numFmtId="173" fontId="5" fillId="0" borderId="0" xfId="0" applyNumberFormat="1" applyFont="1" applyFill="1" applyAlignment="1" applyProtection="1">
      <alignment horizontal="center"/>
    </xf>
    <xf numFmtId="3" fontId="5" fillId="0" borderId="0" xfId="0" applyNumberFormat="1" applyFont="1" applyFill="1" applyAlignment="1" applyProtection="1">
      <alignment horizontal="center"/>
    </xf>
    <xf numFmtId="172" fontId="5" fillId="0" borderId="0" xfId="0" applyNumberFormat="1" applyFont="1" applyFill="1" applyAlignment="1" applyProtection="1">
      <alignment horizontal="center"/>
    </xf>
    <xf numFmtId="38" fontId="5" fillId="0" borderId="0" xfId="0" applyNumberFormat="1" applyFont="1" applyAlignment="1">
      <alignment horizontal="left"/>
    </xf>
    <xf numFmtId="38" fontId="5" fillId="0" borderId="0" xfId="0" applyNumberFormat="1" applyFont="1" applyAlignment="1" applyProtection="1">
      <alignment horizontal="center"/>
    </xf>
    <xf numFmtId="6" fontId="5" fillId="0" borderId="0" xfId="0" applyNumberFormat="1" applyFont="1" applyAlignment="1">
      <alignment horizontal="left"/>
    </xf>
    <xf numFmtId="167" fontId="5" fillId="0" borderId="0" xfId="0" applyNumberFormat="1" applyFont="1" applyAlignment="1">
      <alignment horizontal="center"/>
    </xf>
    <xf numFmtId="173" fontId="6" fillId="0" borderId="0" xfId="0" applyNumberFormat="1" applyFont="1"/>
    <xf numFmtId="9" fontId="5" fillId="0" borderId="0" xfId="0" applyNumberFormat="1" applyFont="1" applyAlignment="1">
      <alignment horizontal="center"/>
    </xf>
    <xf numFmtId="3" fontId="6" fillId="0" borderId="0" xfId="0" applyNumberFormat="1" applyFont="1"/>
    <xf numFmtId="172" fontId="6" fillId="0" borderId="0" xfId="0" applyNumberFormat="1" applyFont="1" applyAlignment="1">
      <alignment horizontal="left"/>
    </xf>
    <xf numFmtId="9" fontId="6" fillId="0" borderId="0" xfId="0" applyNumberFormat="1" applyFont="1" applyAlignment="1">
      <alignment horizontal="left"/>
    </xf>
    <xf numFmtId="9" fontId="5" fillId="0" borderId="0" xfId="0" applyNumberFormat="1" applyFont="1" applyFill="1" applyAlignment="1">
      <alignment horizontal="center"/>
    </xf>
    <xf numFmtId="168" fontId="5" fillId="0" borderId="0" xfId="0" applyNumberFormat="1" applyFont="1" applyFill="1" applyAlignment="1">
      <alignment horizontal="center"/>
    </xf>
    <xf numFmtId="7" fontId="5" fillId="0" borderId="0" xfId="0" applyNumberFormat="1" applyFont="1" applyFill="1" applyBorder="1" applyAlignment="1" applyProtection="1">
      <alignment horizontal="center"/>
    </xf>
    <xf numFmtId="3" fontId="6" fillId="0" borderId="0" xfId="0" applyNumberFormat="1" applyFont="1" applyFill="1" applyAlignment="1">
      <alignment horizontal="center"/>
    </xf>
    <xf numFmtId="3" fontId="5" fillId="2" borderId="0" xfId="0" applyNumberFormat="1" applyFont="1" applyFill="1" applyAlignment="1">
      <alignment horizontal="center"/>
    </xf>
    <xf numFmtId="166" fontId="5" fillId="2" borderId="0" xfId="0" applyFont="1" applyFill="1" applyAlignment="1">
      <alignment horizontal="center"/>
    </xf>
    <xf numFmtId="9" fontId="6" fillId="3" borderId="0" xfId="0" applyNumberFormat="1" applyFont="1" applyFill="1" applyAlignment="1">
      <alignment horizontal="center"/>
    </xf>
    <xf numFmtId="7" fontId="6" fillId="3" borderId="0" xfId="0" applyNumberFormat="1" applyFont="1" applyFill="1" applyAlignment="1">
      <alignment horizontal="center"/>
    </xf>
    <xf numFmtId="172" fontId="6" fillId="3" borderId="0" xfId="0" applyNumberFormat="1" applyFont="1" applyFill="1" applyAlignment="1">
      <alignment horizontal="center"/>
    </xf>
    <xf numFmtId="3" fontId="5" fillId="2" borderId="0" xfId="0" applyNumberFormat="1" applyFont="1" applyFill="1"/>
    <xf numFmtId="9" fontId="5" fillId="0" borderId="0" xfId="0" applyNumberFormat="1" applyFont="1" applyAlignment="1">
      <alignment horizontal="left"/>
    </xf>
    <xf numFmtId="38" fontId="5" fillId="2" borderId="0" xfId="0" applyNumberFormat="1" applyFont="1" applyFill="1"/>
    <xf numFmtId="9" fontId="6" fillId="0" borderId="0" xfId="0" applyNumberFormat="1" applyFont="1" applyFill="1" applyAlignment="1">
      <alignment horizontal="center"/>
    </xf>
    <xf numFmtId="17" fontId="6" fillId="0" borderId="0" xfId="0" quotePrefix="1" applyNumberFormat="1" applyFont="1" applyBorder="1" applyAlignment="1">
      <alignment horizontal="center"/>
    </xf>
    <xf numFmtId="17" fontId="6" fillId="0" borderId="0" xfId="0" applyNumberFormat="1" applyFont="1" applyAlignment="1">
      <alignment horizontal="center"/>
    </xf>
    <xf numFmtId="3" fontId="6" fillId="3" borderId="0" xfId="0" applyNumberFormat="1" applyFont="1" applyFill="1" applyAlignment="1">
      <alignment horizontal="center"/>
    </xf>
    <xf numFmtId="168" fontId="5" fillId="0" borderId="0" xfId="0" applyNumberFormat="1" applyFont="1"/>
    <xf numFmtId="9" fontId="5" fillId="2" borderId="0" xfId="0" applyNumberFormat="1" applyFont="1" applyFill="1"/>
    <xf numFmtId="172" fontId="5" fillId="2" borderId="0" xfId="0" applyNumberFormat="1" applyFont="1" applyFill="1" applyAlignment="1">
      <alignment horizontal="center"/>
    </xf>
    <xf numFmtId="2" fontId="5" fillId="0" borderId="0" xfId="0" applyNumberFormat="1" applyFont="1"/>
    <xf numFmtId="175" fontId="5" fillId="0" borderId="0" xfId="0" applyNumberFormat="1" applyFont="1" applyAlignment="1">
      <alignment horizontal="center"/>
    </xf>
    <xf numFmtId="17" fontId="6" fillId="0" borderId="0" xfId="0" applyNumberFormat="1" applyFont="1" applyBorder="1" applyAlignment="1">
      <alignment horizontal="center"/>
    </xf>
    <xf numFmtId="9" fontId="5" fillId="2" borderId="0" xfId="0" applyNumberFormat="1" applyFont="1" applyFill="1" applyAlignment="1">
      <alignment horizontal="center"/>
    </xf>
    <xf numFmtId="3" fontId="5" fillId="0" borderId="0" xfId="0" applyNumberFormat="1" applyFont="1" applyAlignment="1" applyProtection="1">
      <alignment horizontal="center" vertical="center"/>
    </xf>
    <xf numFmtId="3" fontId="5" fillId="0" borderId="0" xfId="0" applyNumberFormat="1" applyFont="1" applyBorder="1" applyAlignment="1">
      <alignment horizontal="center"/>
    </xf>
    <xf numFmtId="3" fontId="5" fillId="2" borderId="0" xfId="0" applyNumberFormat="1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168" fontId="5" fillId="2" borderId="0" xfId="0" applyNumberFormat="1" applyFont="1" applyFill="1" applyAlignment="1">
      <alignment horizontal="center"/>
    </xf>
    <xf numFmtId="3" fontId="5" fillId="0" borderId="0" xfId="0" applyNumberFormat="1" applyFont="1" applyAlignment="1">
      <alignment horizontal="center" vertical="center"/>
    </xf>
    <xf numFmtId="3" fontId="6" fillId="0" borderId="0" xfId="0" applyNumberFormat="1" applyFont="1" applyAlignment="1" applyProtection="1">
      <alignment horizontal="center" vertical="center"/>
    </xf>
    <xf numFmtId="3" fontId="5" fillId="0" borderId="0" xfId="0" quotePrefix="1" applyNumberFormat="1" applyFont="1" applyBorder="1" applyAlignment="1">
      <alignment horizontal="center"/>
    </xf>
    <xf numFmtId="3" fontId="5" fillId="0" borderId="0" xfId="0" quotePrefix="1" applyNumberFormat="1" applyFont="1" applyAlignment="1">
      <alignment horizontal="center"/>
    </xf>
    <xf numFmtId="3" fontId="6" fillId="3" borderId="0" xfId="0" applyNumberFormat="1" applyFont="1" applyFill="1" applyAlignment="1" applyProtection="1">
      <alignment horizontal="center" vertical="center"/>
    </xf>
    <xf numFmtId="38" fontId="5" fillId="0" borderId="0" xfId="0" applyNumberFormat="1" applyFont="1" applyAlignment="1" applyProtection="1">
      <alignment horizontal="center" vertical="center"/>
    </xf>
    <xf numFmtId="3" fontId="6" fillId="0" borderId="0" xfId="0" applyNumberFormat="1" applyFont="1" applyBorder="1" applyAlignment="1">
      <alignment horizontal="center"/>
    </xf>
    <xf numFmtId="3" fontId="5" fillId="0" borderId="0" xfId="0" applyNumberFormat="1" applyFont="1" applyFill="1" applyBorder="1" applyAlignment="1">
      <alignment horizontal="center"/>
    </xf>
    <xf numFmtId="38" fontId="5" fillId="0" borderId="0" xfId="0" applyNumberFormat="1" applyFont="1" applyBorder="1" applyAlignment="1">
      <alignment horizontal="center"/>
    </xf>
    <xf numFmtId="9" fontId="5" fillId="0" borderId="0" xfId="0" applyNumberFormat="1" applyFont="1" applyBorder="1" applyAlignment="1">
      <alignment horizontal="center"/>
    </xf>
    <xf numFmtId="179" fontId="5" fillId="0" borderId="0" xfId="0" applyNumberFormat="1" applyFont="1" applyAlignment="1">
      <alignment horizontal="center"/>
    </xf>
    <xf numFmtId="177" fontId="6" fillId="0" borderId="0" xfId="0" applyNumberFormat="1" applyFont="1" applyAlignment="1">
      <alignment horizontal="left"/>
    </xf>
    <xf numFmtId="9" fontId="6" fillId="0" borderId="0" xfId="0" applyNumberFormat="1" applyFont="1" applyAlignment="1">
      <alignment horizontal="center"/>
    </xf>
    <xf numFmtId="6" fontId="6" fillId="0" borderId="0" xfId="0" applyNumberFormat="1" applyFont="1" applyAlignment="1">
      <alignment horizontal="center"/>
    </xf>
    <xf numFmtId="166" fontId="6" fillId="0" borderId="0" xfId="0" applyFont="1" applyFill="1" applyAlignment="1">
      <alignment horizontal="left"/>
    </xf>
    <xf numFmtId="168" fontId="6" fillId="0" borderId="0" xfId="0" applyNumberFormat="1" applyFont="1" applyAlignment="1">
      <alignment horizontal="center"/>
    </xf>
    <xf numFmtId="6" fontId="6" fillId="3" borderId="0" xfId="0" applyNumberFormat="1" applyFont="1" applyFill="1" applyAlignment="1">
      <alignment horizontal="center"/>
    </xf>
    <xf numFmtId="168" fontId="5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right"/>
    </xf>
    <xf numFmtId="168" fontId="5" fillId="0" borderId="0" xfId="0" applyNumberFormat="1" applyFont="1" applyAlignment="1">
      <alignment horizontal="center"/>
    </xf>
    <xf numFmtId="179" fontId="6" fillId="0" borderId="0" xfId="0" quotePrefix="1" applyNumberFormat="1" applyFont="1" applyAlignment="1">
      <alignment horizontal="center"/>
    </xf>
    <xf numFmtId="179" fontId="6" fillId="0" borderId="0" xfId="0" applyNumberFormat="1" applyFont="1" applyAlignment="1">
      <alignment horizontal="center"/>
    </xf>
    <xf numFmtId="180" fontId="5" fillId="0" borderId="0" xfId="0" applyNumberFormat="1" applyFont="1" applyAlignment="1">
      <alignment horizontal="center"/>
    </xf>
    <xf numFmtId="10" fontId="5" fillId="0" borderId="0" xfId="0" applyNumberFormat="1" applyFont="1" applyAlignment="1">
      <alignment horizontal="center"/>
    </xf>
    <xf numFmtId="7" fontId="6" fillId="0" borderId="0" xfId="0" applyNumberFormat="1" applyFont="1" applyFill="1" applyAlignment="1">
      <alignment horizontal="center"/>
    </xf>
    <xf numFmtId="17" fontId="6" fillId="0" borderId="0" xfId="0" applyNumberFormat="1" applyFont="1" applyFill="1" applyBorder="1" applyAlignment="1">
      <alignment horizontal="center"/>
    </xf>
    <xf numFmtId="3" fontId="5" fillId="0" borderId="0" xfId="0" applyNumberFormat="1" applyFont="1" applyFill="1" applyAlignment="1" applyProtection="1">
      <alignment horizontal="center" vertical="center"/>
    </xf>
    <xf numFmtId="38" fontId="5" fillId="0" borderId="0" xfId="0" applyNumberFormat="1" applyFont="1" applyFill="1" applyAlignment="1" applyProtection="1">
      <alignment horizontal="center" vertical="center"/>
    </xf>
    <xf numFmtId="8" fontId="6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/>
    </xf>
    <xf numFmtId="173" fontId="5" fillId="2" borderId="0" xfId="0" applyNumberFormat="1" applyFont="1" applyFill="1" applyAlignment="1">
      <alignment horizontal="center"/>
    </xf>
    <xf numFmtId="172" fontId="5" fillId="4" borderId="0" xfId="0" applyNumberFormat="1" applyFont="1" applyFill="1" applyAlignment="1">
      <alignment horizontal="center"/>
    </xf>
    <xf numFmtId="173" fontId="5" fillId="4" borderId="0" xfId="0" applyNumberFormat="1" applyFont="1" applyFill="1" applyAlignment="1">
      <alignment horizontal="center"/>
    </xf>
    <xf numFmtId="17" fontId="6" fillId="0" borderId="0" xfId="0" quotePrefix="1" applyNumberFormat="1" applyFont="1" applyAlignment="1">
      <alignment horizontal="center"/>
    </xf>
    <xf numFmtId="6" fontId="6" fillId="0" borderId="0" xfId="0" applyNumberFormat="1" applyFont="1" applyFill="1" applyAlignment="1">
      <alignment horizontal="center"/>
    </xf>
    <xf numFmtId="166" fontId="6" fillId="3" borderId="0" xfId="0" applyFont="1" applyFill="1" applyAlignment="1">
      <alignment horizontal="left"/>
    </xf>
    <xf numFmtId="173" fontId="5" fillId="3" borderId="0" xfId="0" applyNumberFormat="1" applyFont="1" applyFill="1" applyAlignment="1">
      <alignment horizontal="center"/>
    </xf>
    <xf numFmtId="3" fontId="5" fillId="4" borderId="0" xfId="0" applyNumberFormat="1" applyFont="1" applyFill="1" applyAlignment="1">
      <alignment horizontal="center"/>
    </xf>
    <xf numFmtId="38" fontId="5" fillId="4" borderId="0" xfId="0" applyNumberFormat="1" applyFont="1" applyFill="1" applyAlignment="1">
      <alignment horizontal="center"/>
    </xf>
    <xf numFmtId="172" fontId="6" fillId="0" borderId="0" xfId="0" applyNumberFormat="1" applyFont="1" applyFill="1" applyAlignment="1">
      <alignment horizontal="center"/>
    </xf>
    <xf numFmtId="8" fontId="5" fillId="0" borderId="0" xfId="0" applyNumberFormat="1" applyFont="1"/>
    <xf numFmtId="173" fontId="6" fillId="0" borderId="0" xfId="0" applyNumberFormat="1" applyFont="1" applyFill="1" applyAlignment="1">
      <alignment horizontal="center"/>
    </xf>
    <xf numFmtId="6" fontId="5" fillId="3" borderId="0" xfId="0" applyNumberFormat="1" applyFont="1" applyFill="1" applyAlignment="1">
      <alignment horizontal="center"/>
    </xf>
    <xf numFmtId="5" fontId="6" fillId="0" borderId="0" xfId="0" applyNumberFormat="1" applyFont="1" applyFill="1" applyAlignment="1">
      <alignment horizontal="center"/>
    </xf>
    <xf numFmtId="167" fontId="6" fillId="0" borderId="0" xfId="0" applyNumberFormat="1" applyFont="1" applyFill="1" applyAlignment="1">
      <alignment horizontal="center"/>
    </xf>
    <xf numFmtId="9" fontId="6" fillId="0" borderId="0" xfId="0" applyNumberFormat="1" applyFont="1"/>
    <xf numFmtId="5" fontId="6" fillId="0" borderId="0" xfId="0" applyNumberFormat="1" applyFont="1" applyAlignment="1">
      <alignment horizontal="center"/>
    </xf>
    <xf numFmtId="172" fontId="5" fillId="3" borderId="0" xfId="0" applyNumberFormat="1" applyFont="1" applyFill="1" applyAlignment="1">
      <alignment horizontal="center"/>
    </xf>
    <xf numFmtId="8" fontId="6" fillId="0" borderId="0" xfId="0" applyNumberFormat="1" applyFont="1" applyFill="1" applyAlignment="1">
      <alignment horizontal="center"/>
    </xf>
    <xf numFmtId="3" fontId="5" fillId="0" borderId="0" xfId="0" applyNumberFormat="1" applyFont="1" applyFill="1" applyAlignment="1">
      <alignment horizontal="left"/>
    </xf>
    <xf numFmtId="38" fontId="5" fillId="0" borderId="0" xfId="0" applyNumberFormat="1" applyFont="1" applyFill="1" applyAlignment="1">
      <alignment horizontal="left"/>
    </xf>
    <xf numFmtId="3" fontId="6" fillId="0" borderId="0" xfId="0" applyNumberFormat="1" applyFont="1" applyFill="1" applyAlignment="1">
      <alignment horizontal="left"/>
    </xf>
    <xf numFmtId="173" fontId="6" fillId="0" borderId="0" xfId="0" applyNumberFormat="1" applyFont="1" applyFill="1" applyAlignment="1">
      <alignment horizontal="left"/>
    </xf>
    <xf numFmtId="38" fontId="6" fillId="0" borderId="0" xfId="0" applyNumberFormat="1" applyFont="1" applyAlignment="1">
      <alignment horizontal="center"/>
    </xf>
    <xf numFmtId="38" fontId="6" fillId="0" borderId="0" xfId="0" applyNumberFormat="1" applyFont="1"/>
    <xf numFmtId="38" fontId="6" fillId="0" borderId="0" xfId="0" applyNumberFormat="1" applyFont="1" applyFill="1" applyAlignment="1">
      <alignment horizontal="center"/>
    </xf>
    <xf numFmtId="3" fontId="5" fillId="5" borderId="0" xfId="0" applyNumberFormat="1" applyFont="1" applyFill="1" applyAlignment="1">
      <alignment horizontal="center"/>
    </xf>
    <xf numFmtId="38" fontId="6" fillId="3" borderId="0" xfId="0" applyNumberFormat="1" applyFont="1" applyFill="1" applyAlignment="1">
      <alignment horizontal="center"/>
    </xf>
    <xf numFmtId="3" fontId="5" fillId="4" borderId="0" xfId="0" applyNumberFormat="1" applyFont="1" applyFill="1"/>
    <xf numFmtId="172" fontId="5" fillId="4" borderId="0" xfId="0" applyNumberFormat="1" applyFont="1" applyFill="1" applyAlignment="1" applyProtection="1">
      <alignment horizontal="center"/>
    </xf>
    <xf numFmtId="172" fontId="5" fillId="2" borderId="0" xfId="0" applyNumberFormat="1" applyFont="1" applyFill="1" applyAlignment="1">
      <alignment horizontal="left"/>
    </xf>
    <xf numFmtId="3" fontId="6" fillId="2" borderId="0" xfId="0" applyNumberFormat="1" applyFont="1" applyFill="1" applyAlignment="1">
      <alignment horizontal="center"/>
    </xf>
    <xf numFmtId="9" fontId="5" fillId="0" borderId="0" xfId="0" applyNumberFormat="1" applyFont="1" applyFill="1"/>
    <xf numFmtId="166" fontId="5" fillId="2" borderId="0" xfId="0" applyFont="1" applyFill="1"/>
    <xf numFmtId="172" fontId="5" fillId="4" borderId="0" xfId="0" applyNumberFormat="1" applyFont="1" applyFill="1"/>
    <xf numFmtId="172" fontId="5" fillId="4" borderId="0" xfId="0" applyNumberFormat="1" applyFont="1" applyFill="1" applyAlignment="1">
      <alignment horizontal="left"/>
    </xf>
    <xf numFmtId="172" fontId="6" fillId="4" borderId="0" xfId="0" applyNumberFormat="1" applyFont="1" applyFill="1"/>
    <xf numFmtId="3" fontId="5" fillId="4" borderId="0" xfId="0" applyNumberFormat="1" applyFont="1" applyFill="1" applyAlignment="1">
      <alignment horizontal="left"/>
    </xf>
    <xf numFmtId="38" fontId="5" fillId="4" borderId="0" xfId="0" applyNumberFormat="1" applyFont="1" applyFill="1" applyAlignment="1">
      <alignment horizontal="left"/>
    </xf>
    <xf numFmtId="166" fontId="5" fillId="4" borderId="0" xfId="0" applyFont="1" applyFill="1" applyAlignment="1">
      <alignment horizontal="center"/>
    </xf>
    <xf numFmtId="3" fontId="6" fillId="4" borderId="0" xfId="0" applyNumberFormat="1" applyFont="1" applyFill="1" applyAlignment="1">
      <alignment horizontal="center"/>
    </xf>
    <xf numFmtId="8" fontId="5" fillId="0" borderId="0" xfId="0" applyNumberFormat="1" applyFont="1" applyFill="1"/>
    <xf numFmtId="8" fontId="5" fillId="0" borderId="0" xfId="0" applyNumberFormat="1" applyFont="1" applyFill="1" applyAlignment="1">
      <alignment horizontal="center"/>
    </xf>
    <xf numFmtId="3" fontId="5" fillId="0" borderId="0" xfId="0" applyNumberFormat="1" applyFont="1" applyFill="1"/>
    <xf numFmtId="175" fontId="5" fillId="0" borderId="0" xfId="0" applyNumberFormat="1" applyFont="1"/>
    <xf numFmtId="3" fontId="6" fillId="5" borderId="0" xfId="0" applyNumberFormat="1" applyFont="1" applyFill="1" applyAlignment="1">
      <alignment horizontal="center"/>
    </xf>
    <xf numFmtId="180" fontId="5" fillId="0" borderId="0" xfId="0" applyNumberFormat="1" applyFont="1"/>
    <xf numFmtId="6" fontId="6" fillId="0" borderId="0" xfId="0" applyNumberFormat="1" applyFont="1"/>
    <xf numFmtId="6" fontId="5" fillId="0" borderId="0" xfId="0" applyNumberFormat="1" applyFont="1" applyBorder="1" applyAlignment="1">
      <alignment horizontal="center"/>
    </xf>
    <xf numFmtId="172" fontId="5" fillId="0" borderId="2" xfId="0" applyNumberFormat="1" applyFont="1" applyBorder="1" applyAlignment="1">
      <alignment horizontal="left"/>
    </xf>
    <xf numFmtId="172" fontId="5" fillId="0" borderId="3" xfId="0" applyNumberFormat="1" applyFont="1" applyBorder="1" applyAlignment="1">
      <alignment horizontal="center"/>
    </xf>
    <xf numFmtId="172" fontId="5" fillId="0" borderId="4" xfId="0" applyNumberFormat="1" applyFont="1" applyBorder="1" applyAlignment="1">
      <alignment horizontal="center"/>
    </xf>
    <xf numFmtId="6" fontId="5" fillId="0" borderId="5" xfId="0" applyNumberFormat="1" applyFont="1" applyBorder="1"/>
    <xf numFmtId="6" fontId="5" fillId="0" borderId="6" xfId="0" applyNumberFormat="1" applyFont="1" applyBorder="1" applyAlignment="1">
      <alignment horizontal="center"/>
    </xf>
    <xf numFmtId="3" fontId="5" fillId="3" borderId="0" xfId="0" quotePrefix="1" applyNumberFormat="1" applyFont="1" applyFill="1" applyBorder="1" applyAlignment="1">
      <alignment horizontal="center"/>
    </xf>
    <xf numFmtId="168" fontId="6" fillId="0" borderId="0" xfId="0" applyNumberFormat="1" applyFont="1" applyFill="1" applyAlignment="1">
      <alignment horizontal="left"/>
    </xf>
    <xf numFmtId="168" fontId="6" fillId="0" borderId="0" xfId="0" applyNumberFormat="1" applyFont="1" applyFill="1" applyAlignment="1">
      <alignment horizontal="center"/>
    </xf>
    <xf numFmtId="172" fontId="5" fillId="0" borderId="0" xfId="0" applyNumberFormat="1" applyFont="1" applyBorder="1" applyAlignment="1">
      <alignment horizontal="center"/>
    </xf>
    <xf numFmtId="166" fontId="6" fillId="0" borderId="2" xfId="0" applyFont="1" applyBorder="1"/>
    <xf numFmtId="166" fontId="5" fillId="0" borderId="3" xfId="0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176" fontId="6" fillId="0" borderId="3" xfId="0" applyNumberFormat="1" applyFont="1" applyBorder="1" applyAlignment="1">
      <alignment horizontal="center"/>
    </xf>
    <xf numFmtId="8" fontId="6" fillId="0" borderId="3" xfId="0" applyNumberFormat="1" applyFont="1" applyBorder="1" applyAlignment="1">
      <alignment horizontal="center"/>
    </xf>
    <xf numFmtId="6" fontId="5" fillId="0" borderId="4" xfId="0" applyNumberFormat="1" applyFont="1" applyBorder="1" applyAlignment="1">
      <alignment horizontal="center"/>
    </xf>
    <xf numFmtId="166" fontId="6" fillId="0" borderId="5" xfId="0" applyFont="1" applyBorder="1"/>
    <xf numFmtId="166" fontId="6" fillId="0" borderId="0" xfId="0" applyFont="1" applyBorder="1" applyAlignment="1">
      <alignment horizontal="center"/>
    </xf>
    <xf numFmtId="172" fontId="6" fillId="0" borderId="0" xfId="0" applyNumberFormat="1" applyFont="1" applyBorder="1" applyAlignment="1">
      <alignment horizontal="center"/>
    </xf>
    <xf numFmtId="8" fontId="6" fillId="0" borderId="0" xfId="0" applyNumberFormat="1" applyFont="1" applyBorder="1" applyAlignment="1">
      <alignment horizontal="center"/>
    </xf>
    <xf numFmtId="6" fontId="6" fillId="0" borderId="6" xfId="0" applyNumberFormat="1" applyFont="1" applyBorder="1" applyAlignment="1">
      <alignment horizontal="center"/>
    </xf>
    <xf numFmtId="166" fontId="5" fillId="0" borderId="0" xfId="0" applyFont="1" applyBorder="1" applyAlignment="1">
      <alignment horizontal="center"/>
    </xf>
    <xf numFmtId="8" fontId="5" fillId="0" borderId="0" xfId="0" applyNumberFormat="1" applyFont="1" applyBorder="1" applyAlignment="1">
      <alignment horizontal="center"/>
    </xf>
    <xf numFmtId="166" fontId="6" fillId="0" borderId="7" xfId="0" applyFont="1" applyBorder="1"/>
    <xf numFmtId="166" fontId="5" fillId="0" borderId="8" xfId="0" applyFont="1" applyBorder="1" applyAlignment="1">
      <alignment horizontal="center"/>
    </xf>
    <xf numFmtId="3" fontId="5" fillId="0" borderId="8" xfId="0" applyNumberFormat="1" applyFont="1" applyBorder="1" applyAlignment="1">
      <alignment horizontal="center"/>
    </xf>
    <xf numFmtId="3" fontId="6" fillId="0" borderId="8" xfId="0" applyNumberFormat="1" applyFont="1" applyBorder="1" applyAlignment="1">
      <alignment horizontal="center"/>
    </xf>
    <xf numFmtId="9" fontId="6" fillId="0" borderId="8" xfId="0" applyNumberFormat="1" applyFont="1" applyBorder="1" applyAlignment="1">
      <alignment horizontal="center"/>
    </xf>
    <xf numFmtId="172" fontId="6" fillId="0" borderId="8" xfId="0" applyNumberFormat="1" applyFont="1" applyBorder="1" applyAlignment="1">
      <alignment horizontal="center"/>
    </xf>
    <xf numFmtId="8" fontId="6" fillId="0" borderId="8" xfId="0" applyNumberFormat="1" applyFont="1" applyBorder="1" applyAlignment="1">
      <alignment horizontal="center"/>
    </xf>
    <xf numFmtId="6" fontId="6" fillId="0" borderId="9" xfId="0" applyNumberFormat="1" applyFont="1" applyBorder="1" applyAlignment="1">
      <alignment horizontal="center"/>
    </xf>
    <xf numFmtId="166" fontId="5" fillId="0" borderId="2" xfId="0" applyFont="1" applyBorder="1"/>
    <xf numFmtId="166" fontId="5" fillId="0" borderId="5" xfId="0" applyFont="1" applyBorder="1"/>
    <xf numFmtId="9" fontId="6" fillId="0" borderId="0" xfId="0" applyNumberFormat="1" applyFont="1" applyBorder="1" applyAlignment="1">
      <alignment horizontal="center"/>
    </xf>
    <xf numFmtId="9" fontId="5" fillId="0" borderId="3" xfId="0" applyNumberFormat="1" applyFont="1" applyBorder="1" applyAlignment="1">
      <alignment horizontal="center"/>
    </xf>
    <xf numFmtId="6" fontId="6" fillId="0" borderId="4" xfId="0" applyNumberFormat="1" applyFont="1" applyBorder="1" applyAlignment="1">
      <alignment horizontal="center"/>
    </xf>
    <xf numFmtId="3" fontId="6" fillId="0" borderId="8" xfId="0" applyNumberFormat="1" applyFont="1" applyFill="1" applyBorder="1" applyAlignment="1">
      <alignment horizontal="center"/>
    </xf>
    <xf numFmtId="180" fontId="5" fillId="0" borderId="0" xfId="0" applyNumberFormat="1" applyFont="1" applyFill="1" applyAlignment="1">
      <alignment horizontal="center"/>
    </xf>
    <xf numFmtId="175" fontId="5" fillId="0" borderId="0" xfId="0" applyNumberFormat="1" applyFont="1" applyFill="1" applyAlignment="1">
      <alignment horizontal="center"/>
    </xf>
    <xf numFmtId="3" fontId="5" fillId="2" borderId="0" xfId="0" quotePrefix="1" applyNumberFormat="1" applyFont="1" applyFill="1" applyBorder="1" applyAlignment="1">
      <alignment horizontal="center"/>
    </xf>
    <xf numFmtId="3" fontId="5" fillId="0" borderId="0" xfId="0" quotePrefix="1" applyNumberFormat="1" applyFont="1" applyFill="1" applyAlignment="1">
      <alignment horizontal="center"/>
    </xf>
    <xf numFmtId="3" fontId="5" fillId="2" borderId="0" xfId="0" quotePrefix="1" applyNumberFormat="1" applyFont="1" applyFill="1" applyAlignment="1">
      <alignment horizontal="center"/>
    </xf>
    <xf numFmtId="3" fontId="6" fillId="0" borderId="0" xfId="0" applyNumberFormat="1" applyFont="1" applyFill="1" applyBorder="1" applyAlignment="1">
      <alignment horizontal="center"/>
    </xf>
    <xf numFmtId="166" fontId="5" fillId="3" borderId="0" xfId="0" applyFont="1" applyFill="1" applyAlignment="1">
      <alignment horizontal="center"/>
    </xf>
    <xf numFmtId="38" fontId="5" fillId="3" borderId="0" xfId="0" applyNumberFormat="1" applyFont="1" applyFill="1" applyAlignment="1">
      <alignment horizontal="center"/>
    </xf>
    <xf numFmtId="9" fontId="5" fillId="3" borderId="0" xfId="0" applyNumberFormat="1" applyFont="1" applyFill="1" applyAlignment="1">
      <alignment horizontal="center"/>
    </xf>
    <xf numFmtId="9" fontId="5" fillId="3" borderId="0" xfId="0" applyNumberFormat="1" applyFont="1" applyFill="1" applyBorder="1" applyAlignment="1">
      <alignment horizontal="center"/>
    </xf>
    <xf numFmtId="173" fontId="6" fillId="0" borderId="0" xfId="0" applyNumberFormat="1" applyFont="1" applyAlignment="1">
      <alignment horizontal="right"/>
    </xf>
    <xf numFmtId="6" fontId="6" fillId="0" borderId="0" xfId="0" applyNumberFormat="1" applyFont="1" applyAlignment="1">
      <alignment horizontal="right"/>
    </xf>
    <xf numFmtId="38" fontId="5" fillId="0" borderId="0" xfId="0" applyNumberFormat="1" applyFont="1" applyFill="1" applyAlignment="1" applyProtection="1">
      <alignment horizontal="center"/>
    </xf>
    <xf numFmtId="6" fontId="5" fillId="0" borderId="0" xfId="0" applyNumberFormat="1" applyFont="1" applyFill="1" applyAlignment="1" applyProtection="1">
      <alignment horizontal="center"/>
    </xf>
    <xf numFmtId="37" fontId="5" fillId="0" borderId="0" xfId="0" applyNumberFormat="1" applyFont="1" applyFill="1" applyAlignment="1">
      <alignment horizontal="center"/>
    </xf>
    <xf numFmtId="173" fontId="5" fillId="0" borderId="0" xfId="0" applyNumberFormat="1" applyFont="1" applyFill="1" applyBorder="1" applyAlignment="1">
      <alignment horizontal="center"/>
    </xf>
    <xf numFmtId="8" fontId="5" fillId="0" borderId="0" xfId="0" applyNumberFormat="1" applyFont="1" applyFill="1" applyAlignment="1" applyProtection="1">
      <alignment horizontal="center"/>
    </xf>
    <xf numFmtId="38" fontId="5" fillId="4" borderId="0" xfId="0" applyNumberFormat="1" applyFont="1" applyFill="1"/>
    <xf numFmtId="184" fontId="6" fillId="0" borderId="3" xfId="0" applyNumberFormat="1" applyFont="1" applyBorder="1" applyAlignment="1">
      <alignment horizontal="center"/>
    </xf>
    <xf numFmtId="184" fontId="6" fillId="0" borderId="4" xfId="0" applyNumberFormat="1" applyFont="1" applyBorder="1" applyAlignment="1">
      <alignment horizontal="center"/>
    </xf>
    <xf numFmtId="166" fontId="5" fillId="0" borderId="7" xfId="0" applyFont="1" applyBorder="1"/>
    <xf numFmtId="174" fontId="5" fillId="0" borderId="0" xfId="0" applyNumberFormat="1" applyFont="1" applyAlignment="1">
      <alignment horizontal="center"/>
    </xf>
    <xf numFmtId="3" fontId="5" fillId="6" borderId="0" xfId="0" applyNumberFormat="1" applyFont="1" applyFill="1" applyAlignment="1">
      <alignment horizontal="center"/>
    </xf>
    <xf numFmtId="9" fontId="5" fillId="0" borderId="0" xfId="0" applyNumberFormat="1" applyFont="1" applyFill="1" applyBorder="1" applyAlignment="1">
      <alignment horizontal="center"/>
    </xf>
    <xf numFmtId="7" fontId="5" fillId="0" borderId="0" xfId="3" applyNumberFormat="1" applyFont="1" applyFill="1" applyBorder="1" applyAlignment="1">
      <alignment horizontal="center"/>
    </xf>
    <xf numFmtId="166" fontId="6" fillId="3" borderId="0" xfId="0" applyFont="1" applyFill="1" applyAlignment="1">
      <alignment horizontal="center"/>
    </xf>
    <xf numFmtId="170" fontId="5" fillId="0" borderId="0" xfId="0" applyNumberFormat="1" applyFont="1" applyAlignment="1">
      <alignment horizontal="center"/>
    </xf>
    <xf numFmtId="168" fontId="5" fillId="0" borderId="0" xfId="0" applyNumberFormat="1" applyFont="1" applyFill="1" applyAlignment="1" applyProtection="1">
      <alignment horizontal="center" vertical="center"/>
    </xf>
    <xf numFmtId="0" fontId="5" fillId="0" borderId="0" xfId="0" applyNumberFormat="1" applyFont="1" applyFill="1" applyAlignment="1">
      <alignment horizontal="center"/>
    </xf>
    <xf numFmtId="179" fontId="6" fillId="0" borderId="0" xfId="0" applyNumberFormat="1" applyFont="1"/>
    <xf numFmtId="6" fontId="5" fillId="0" borderId="0" xfId="0" applyNumberFormat="1" applyFont="1" applyFill="1" applyBorder="1" applyAlignment="1">
      <alignment horizontal="center"/>
    </xf>
    <xf numFmtId="9" fontId="5" fillId="0" borderId="8" xfId="0" applyNumberFormat="1" applyFont="1" applyBorder="1" applyAlignment="1">
      <alignment horizontal="center"/>
    </xf>
    <xf numFmtId="9" fontId="5" fillId="0" borderId="9" xfId="0" applyNumberFormat="1" applyFont="1" applyBorder="1" applyAlignment="1">
      <alignment horizontal="center"/>
    </xf>
    <xf numFmtId="9" fontId="5" fillId="0" borderId="0" xfId="0" applyNumberFormat="1" applyFont="1" applyFill="1" applyAlignment="1" applyProtection="1">
      <alignment horizontal="center" vertical="center"/>
    </xf>
    <xf numFmtId="185" fontId="5" fillId="4" borderId="0" xfId="0" applyNumberFormat="1" applyFont="1" applyFill="1" applyAlignment="1">
      <alignment horizontal="center"/>
    </xf>
    <xf numFmtId="37" fontId="11" fillId="0" borderId="0" xfId="0" applyNumberFormat="1" applyFont="1" applyFill="1" applyAlignment="1" applyProtection="1">
      <alignment horizontal="left"/>
    </xf>
    <xf numFmtId="3" fontId="13" fillId="0" borderId="0" xfId="0" applyNumberFormat="1" applyFont="1" applyFill="1" applyAlignment="1">
      <alignment horizontal="left"/>
    </xf>
    <xf numFmtId="3" fontId="13" fillId="0" borderId="0" xfId="0" applyNumberFormat="1" applyFont="1" applyFill="1" applyAlignment="1">
      <alignment horizontal="left" wrapText="1"/>
    </xf>
    <xf numFmtId="174" fontId="5" fillId="0" borderId="0" xfId="0" applyNumberFormat="1" applyFont="1"/>
    <xf numFmtId="169" fontId="5" fillId="0" borderId="0" xfId="0" applyNumberFormat="1" applyFont="1" applyFill="1" applyAlignment="1">
      <alignment horizontal="center"/>
    </xf>
    <xf numFmtId="7" fontId="5" fillId="2" borderId="10" xfId="3" applyNumberFormat="1" applyFont="1" applyFill="1" applyBorder="1" applyAlignment="1">
      <alignment horizontal="center"/>
    </xf>
    <xf numFmtId="175" fontId="5" fillId="4" borderId="0" xfId="0" applyNumberFormat="1" applyFont="1" applyFill="1" applyAlignment="1">
      <alignment horizontal="center"/>
    </xf>
    <xf numFmtId="173" fontId="5" fillId="4" borderId="11" xfId="0" applyNumberFormat="1" applyFont="1" applyFill="1" applyBorder="1" applyAlignment="1">
      <alignment horizontal="center"/>
    </xf>
    <xf numFmtId="8" fontId="5" fillId="0" borderId="0" xfId="4" applyNumberFormat="1" applyFont="1" applyFill="1" applyAlignment="1">
      <alignment horizontal="center"/>
    </xf>
    <xf numFmtId="6" fontId="5" fillId="0" borderId="0" xfId="4" applyNumberFormat="1" applyFont="1" applyFill="1" applyAlignment="1">
      <alignment horizontal="center"/>
    </xf>
    <xf numFmtId="168" fontId="5" fillId="0" borderId="0" xfId="0" applyNumberFormat="1" applyFont="1" applyBorder="1" applyAlignment="1">
      <alignment horizontal="center"/>
    </xf>
    <xf numFmtId="185" fontId="5" fillId="4" borderId="0" xfId="0" applyNumberFormat="1" applyFont="1" applyFill="1" applyBorder="1" applyAlignment="1">
      <alignment horizontal="center"/>
    </xf>
    <xf numFmtId="3" fontId="5" fillId="3" borderId="0" xfId="0" applyNumberFormat="1" applyFont="1" applyFill="1" applyBorder="1" applyAlignment="1">
      <alignment horizontal="center"/>
    </xf>
    <xf numFmtId="183" fontId="6" fillId="0" borderId="0" xfId="0" applyNumberFormat="1" applyFont="1" applyAlignment="1">
      <alignment horizontal="center"/>
    </xf>
    <xf numFmtId="166" fontId="5" fillId="7" borderId="0" xfId="0" applyFont="1" applyFill="1" applyAlignment="1">
      <alignment horizontal="left"/>
    </xf>
    <xf numFmtId="166" fontId="5" fillId="7" borderId="0" xfId="0" applyFont="1" applyFill="1" applyAlignment="1">
      <alignment horizontal="center"/>
    </xf>
    <xf numFmtId="166" fontId="6" fillId="3" borderId="0" xfId="0" applyFont="1" applyFill="1"/>
    <xf numFmtId="166" fontId="6" fillId="5" borderId="0" xfId="0" applyFont="1" applyFill="1" applyAlignment="1">
      <alignment horizontal="left"/>
    </xf>
    <xf numFmtId="9" fontId="5" fillId="0" borderId="7" xfId="0" applyNumberFormat="1" applyFont="1" applyBorder="1"/>
    <xf numFmtId="9" fontId="6" fillId="3" borderId="0" xfId="0" applyNumberFormat="1" applyFont="1" applyFill="1" applyBorder="1" applyAlignment="1">
      <alignment horizontal="center"/>
    </xf>
    <xf numFmtId="181" fontId="8" fillId="0" borderId="0" xfId="1" applyNumberFormat="1" applyFont="1" applyFill="1" applyAlignment="1">
      <alignment horizontal="center"/>
    </xf>
    <xf numFmtId="165" fontId="5" fillId="0" borderId="0" xfId="0" applyNumberFormat="1" applyFont="1" applyFill="1" applyAlignment="1">
      <alignment horizontal="center"/>
    </xf>
    <xf numFmtId="167" fontId="5" fillId="0" borderId="0" xfId="4" quotePrefix="1" applyNumberFormat="1" applyFont="1" applyFill="1" applyAlignment="1">
      <alignment horizontal="center"/>
    </xf>
    <xf numFmtId="166" fontId="5" fillId="0" borderId="5" xfId="0" quotePrefix="1" applyFont="1" applyBorder="1"/>
    <xf numFmtId="172" fontId="5" fillId="0" borderId="12" xfId="3" applyNumberFormat="1" applyFont="1" applyFill="1" applyBorder="1" applyAlignment="1">
      <alignment horizontal="center"/>
    </xf>
    <xf numFmtId="6" fontId="5" fillId="0" borderId="13" xfId="0" applyNumberFormat="1" applyFont="1" applyFill="1" applyBorder="1" applyAlignment="1">
      <alignment horizontal="center"/>
    </xf>
    <xf numFmtId="169" fontId="5" fillId="2" borderId="0" xfId="0" applyNumberFormat="1" applyFont="1" applyFill="1" applyAlignment="1">
      <alignment horizontal="center"/>
    </xf>
    <xf numFmtId="175" fontId="5" fillId="0" borderId="0" xfId="0" applyNumberFormat="1" applyFont="1" applyFill="1" applyBorder="1" applyAlignment="1">
      <alignment horizontal="center"/>
    </xf>
    <xf numFmtId="3" fontId="6" fillId="8" borderId="0" xfId="0" applyNumberFormat="1" applyFont="1" applyFill="1" applyAlignment="1">
      <alignment horizontal="center" wrapText="1" shrinkToFit="1"/>
    </xf>
    <xf numFmtId="164" fontId="5" fillId="0" borderId="0" xfId="0" applyNumberFormat="1" applyFont="1" applyFill="1" applyAlignment="1" applyProtection="1">
      <alignment horizontal="center"/>
    </xf>
    <xf numFmtId="166" fontId="6" fillId="0" borderId="0" xfId="0" quotePrefix="1" applyFont="1" applyFill="1" applyAlignment="1">
      <alignment horizontal="center"/>
    </xf>
    <xf numFmtId="166" fontId="7" fillId="0" borderId="0" xfId="0" applyFont="1" applyFill="1" applyAlignment="1">
      <alignment horizontal="left"/>
    </xf>
    <xf numFmtId="166" fontId="6" fillId="0" borderId="0" xfId="0" applyFont="1" applyFill="1"/>
    <xf numFmtId="166" fontId="6" fillId="0" borderId="14" xfId="0" applyFont="1" applyFill="1" applyBorder="1" applyAlignment="1">
      <alignment horizontal="left"/>
    </xf>
    <xf numFmtId="5" fontId="5" fillId="0" borderId="1" xfId="0" applyNumberFormat="1" applyFont="1" applyFill="1" applyBorder="1" applyAlignment="1" applyProtection="1">
      <alignment horizontal="center"/>
    </xf>
    <xf numFmtId="166" fontId="6" fillId="0" borderId="0" xfId="0" applyFont="1" applyFill="1" applyBorder="1" applyAlignment="1">
      <alignment horizontal="left"/>
    </xf>
    <xf numFmtId="5" fontId="6" fillId="0" borderId="0" xfId="0" applyNumberFormat="1" applyFont="1" applyFill="1" applyBorder="1" applyAlignment="1">
      <alignment horizontal="center"/>
    </xf>
    <xf numFmtId="168" fontId="5" fillId="0" borderId="0" xfId="0" applyNumberFormat="1" applyFont="1" applyFill="1"/>
    <xf numFmtId="173" fontId="5" fillId="0" borderId="0" xfId="0" applyNumberFormat="1" applyFont="1" applyFill="1"/>
    <xf numFmtId="6" fontId="5" fillId="0" borderId="0" xfId="1" applyNumberFormat="1" applyFont="1" applyFill="1" applyBorder="1" applyAlignment="1">
      <alignment horizontal="center"/>
    </xf>
    <xf numFmtId="9" fontId="5" fillId="0" borderId="0" xfId="0" applyNumberFormat="1" applyFont="1" applyBorder="1"/>
    <xf numFmtId="9" fontId="5" fillId="6" borderId="0" xfId="0" applyNumberFormat="1" applyFont="1" applyFill="1" applyAlignment="1">
      <alignment horizontal="center"/>
    </xf>
    <xf numFmtId="37" fontId="5" fillId="0" borderId="0" xfId="3" applyNumberFormat="1" applyFont="1" applyFill="1" applyBorder="1" applyAlignment="1">
      <alignment horizontal="center"/>
    </xf>
    <xf numFmtId="5" fontId="5" fillId="4" borderId="0" xfId="0" applyNumberFormat="1" applyFont="1" applyFill="1" applyAlignment="1">
      <alignment horizontal="center"/>
    </xf>
    <xf numFmtId="174" fontId="5" fillId="2" borderId="0" xfId="0" applyNumberFormat="1" applyFont="1" applyFill="1" applyAlignment="1">
      <alignment horizontal="center"/>
    </xf>
    <xf numFmtId="173" fontId="5" fillId="0" borderId="0" xfId="0" applyNumberFormat="1" applyFont="1" applyFill="1" applyAlignment="1">
      <alignment horizontal="left"/>
    </xf>
    <xf numFmtId="8" fontId="17" fillId="0" borderId="0" xfId="0" applyNumberFormat="1" applyFont="1" applyBorder="1" applyAlignment="1">
      <alignment horizontal="right"/>
    </xf>
    <xf numFmtId="173" fontId="6" fillId="0" borderId="0" xfId="0" applyNumberFormat="1" applyFont="1" applyBorder="1" applyAlignment="1">
      <alignment horizontal="center"/>
    </xf>
    <xf numFmtId="173" fontId="6" fillId="4" borderId="0" xfId="0" applyNumberFormat="1" applyFont="1" applyFill="1" applyBorder="1" applyAlignment="1">
      <alignment horizontal="center"/>
    </xf>
    <xf numFmtId="173" fontId="6" fillId="0" borderId="0" xfId="0" applyNumberFormat="1" applyFont="1" applyFill="1" applyBorder="1" applyAlignment="1">
      <alignment horizontal="left"/>
    </xf>
    <xf numFmtId="173" fontId="5" fillId="0" borderId="0" xfId="0" applyNumberFormat="1" applyFont="1" applyBorder="1" applyAlignment="1">
      <alignment horizontal="center"/>
    </xf>
    <xf numFmtId="166" fontId="5" fillId="0" borderId="0" xfId="0" applyFont="1" applyBorder="1"/>
    <xf numFmtId="184" fontId="5" fillId="0" borderId="0" xfId="0" applyNumberFormat="1" applyFont="1" applyAlignment="1">
      <alignment horizontal="center"/>
    </xf>
    <xf numFmtId="184" fontId="6" fillId="0" borderId="0" xfId="0" applyNumberFormat="1" applyFont="1" applyAlignment="1">
      <alignment horizontal="center"/>
    </xf>
    <xf numFmtId="184" fontId="5" fillId="2" borderId="0" xfId="0" applyNumberFormat="1" applyFont="1" applyFill="1" applyAlignment="1">
      <alignment horizontal="center"/>
    </xf>
    <xf numFmtId="184" fontId="5" fillId="0" borderId="0" xfId="0" applyNumberFormat="1" applyFont="1" applyFill="1" applyAlignment="1">
      <alignment horizontal="center"/>
    </xf>
    <xf numFmtId="170" fontId="5" fillId="0" borderId="0" xfId="0" applyNumberFormat="1" applyFont="1" applyFill="1" applyAlignment="1" applyProtection="1">
      <alignment horizontal="center"/>
    </xf>
    <xf numFmtId="14" fontId="5" fillId="0" borderId="0" xfId="0" applyNumberFormat="1" applyFont="1" applyAlignment="1">
      <alignment horizontal="center"/>
    </xf>
    <xf numFmtId="183" fontId="5" fillId="0" borderId="0" xfId="0" applyNumberFormat="1" applyFont="1" applyAlignment="1">
      <alignment horizontal="center"/>
    </xf>
    <xf numFmtId="174" fontId="5" fillId="0" borderId="0" xfId="0" applyNumberFormat="1" applyFont="1" applyFill="1" applyAlignment="1" applyProtection="1">
      <alignment horizontal="center"/>
    </xf>
    <xf numFmtId="1" fontId="5" fillId="0" borderId="0" xfId="0" applyNumberFormat="1" applyFont="1" applyAlignment="1">
      <alignment horizontal="left"/>
    </xf>
    <xf numFmtId="38" fontId="6" fillId="0" borderId="0" xfId="0" applyNumberFormat="1" applyFont="1" applyAlignment="1">
      <alignment horizontal="left"/>
    </xf>
    <xf numFmtId="171" fontId="5" fillId="0" borderId="0" xfId="0" applyNumberFormat="1" applyFont="1" applyFill="1" applyAlignment="1" applyProtection="1">
      <alignment horizontal="center"/>
    </xf>
    <xf numFmtId="169" fontId="5" fillId="0" borderId="0" xfId="0" applyNumberFormat="1" applyFont="1" applyFill="1" applyAlignment="1" applyProtection="1">
      <alignment horizontal="center"/>
    </xf>
    <xf numFmtId="173" fontId="6" fillId="3" borderId="0" xfId="0" applyNumberFormat="1" applyFont="1" applyFill="1"/>
    <xf numFmtId="9" fontId="5" fillId="3" borderId="0" xfId="0" applyNumberFormat="1" applyFont="1" applyFill="1"/>
    <xf numFmtId="173" fontId="5" fillId="3" borderId="0" xfId="0" applyNumberFormat="1" applyFont="1" applyFill="1"/>
    <xf numFmtId="3" fontId="6" fillId="3" borderId="0" xfId="0" applyNumberFormat="1" applyFont="1" applyFill="1"/>
    <xf numFmtId="168" fontId="5" fillId="3" borderId="0" xfId="0" applyNumberFormat="1" applyFont="1" applyFill="1" applyAlignment="1">
      <alignment horizontal="center"/>
    </xf>
    <xf numFmtId="3" fontId="5" fillId="3" borderId="0" xfId="0" applyNumberFormat="1" applyFont="1" applyFill="1"/>
    <xf numFmtId="166" fontId="6" fillId="4" borderId="0" xfId="0" applyFont="1" applyFill="1" applyAlignment="1">
      <alignment horizontal="left"/>
    </xf>
    <xf numFmtId="3" fontId="6" fillId="4" borderId="0" xfId="0" applyNumberFormat="1" applyFont="1" applyFill="1" applyAlignment="1">
      <alignment horizontal="left"/>
    </xf>
    <xf numFmtId="173" fontId="6" fillId="4" borderId="0" xfId="0" applyNumberFormat="1" applyFont="1" applyFill="1" applyBorder="1" applyAlignment="1">
      <alignment horizontal="left"/>
    </xf>
    <xf numFmtId="173" fontId="6" fillId="4" borderId="0" xfId="0" applyNumberFormat="1" applyFont="1" applyFill="1" applyAlignment="1">
      <alignment horizontal="left"/>
    </xf>
    <xf numFmtId="166" fontId="6" fillId="0" borderId="0" xfId="0" applyFont="1" applyFill="1" applyBorder="1" applyAlignment="1">
      <alignment horizontal="center"/>
    </xf>
    <xf numFmtId="166" fontId="5" fillId="4" borderId="0" xfId="0" applyFont="1" applyFill="1"/>
    <xf numFmtId="5" fontId="5" fillId="2" borderId="0" xfId="0" applyNumberFormat="1" applyFont="1" applyFill="1" applyAlignment="1">
      <alignment horizontal="center"/>
    </xf>
    <xf numFmtId="181" fontId="9" fillId="4" borderId="0" xfId="1" applyNumberFormat="1" applyFont="1" applyFill="1" applyAlignment="1">
      <alignment horizontal="center"/>
    </xf>
    <xf numFmtId="172" fontId="5" fillId="4" borderId="0" xfId="4" applyNumberFormat="1" applyFont="1" applyFill="1" applyAlignment="1">
      <alignment horizontal="center"/>
    </xf>
    <xf numFmtId="5" fontId="5" fillId="4" borderId="0" xfId="4" applyNumberFormat="1" applyFont="1" applyFill="1" applyAlignment="1">
      <alignment horizontal="center"/>
    </xf>
    <xf numFmtId="3" fontId="5" fillId="4" borderId="0" xfId="4" applyNumberFormat="1" applyFont="1" applyFill="1" applyAlignment="1">
      <alignment horizontal="center"/>
    </xf>
    <xf numFmtId="8" fontId="5" fillId="2" borderId="0" xfId="0" applyNumberFormat="1" applyFont="1" applyFill="1" applyAlignment="1">
      <alignment horizontal="center"/>
    </xf>
    <xf numFmtId="174" fontId="5" fillId="3" borderId="0" xfId="0" applyNumberFormat="1" applyFont="1" applyFill="1" applyAlignment="1">
      <alignment horizontal="center"/>
    </xf>
    <xf numFmtId="186" fontId="5" fillId="0" borderId="8" xfId="0" applyNumberFormat="1" applyFont="1" applyBorder="1" applyAlignment="1">
      <alignment horizontal="left"/>
    </xf>
    <xf numFmtId="173" fontId="6" fillId="2" borderId="0" xfId="0" applyNumberFormat="1" applyFont="1" applyFill="1" applyAlignment="1">
      <alignment horizontal="center"/>
    </xf>
    <xf numFmtId="179" fontId="5" fillId="0" borderId="0" xfId="0" applyNumberFormat="1" applyFont="1"/>
    <xf numFmtId="7" fontId="5" fillId="0" borderId="10" xfId="3" applyNumberFormat="1" applyFont="1" applyFill="1" applyBorder="1" applyAlignment="1">
      <alignment horizontal="center"/>
    </xf>
    <xf numFmtId="173" fontId="5" fillId="10" borderId="0" xfId="0" applyNumberFormat="1" applyFont="1" applyFill="1" applyAlignment="1">
      <alignment horizontal="center"/>
    </xf>
    <xf numFmtId="3" fontId="5" fillId="10" borderId="0" xfId="0" applyNumberFormat="1" applyFont="1" applyFill="1" applyAlignment="1">
      <alignment horizontal="center"/>
    </xf>
    <xf numFmtId="8" fontId="5" fillId="10" borderId="0" xfId="0" applyNumberFormat="1" applyFont="1" applyFill="1" applyAlignment="1">
      <alignment horizontal="center"/>
    </xf>
    <xf numFmtId="3" fontId="5" fillId="11" borderId="0" xfId="0" applyNumberFormat="1" applyFont="1" applyFill="1" applyAlignment="1">
      <alignment horizontal="center"/>
    </xf>
    <xf numFmtId="5" fontId="5" fillId="11" borderId="0" xfId="0" applyNumberFormat="1" applyFont="1" applyFill="1" applyAlignment="1">
      <alignment horizontal="center"/>
    </xf>
    <xf numFmtId="172" fontId="5" fillId="11" borderId="0" xfId="0" applyNumberFormat="1" applyFont="1" applyFill="1" applyAlignment="1">
      <alignment horizontal="center"/>
    </xf>
    <xf numFmtId="38" fontId="5" fillId="11" borderId="0" xfId="0" applyNumberFormat="1" applyFont="1" applyFill="1" applyAlignment="1">
      <alignment horizontal="center"/>
    </xf>
    <xf numFmtId="173" fontId="5" fillId="11" borderId="0" xfId="0" applyNumberFormat="1" applyFont="1" applyFill="1" applyAlignment="1">
      <alignment horizontal="center"/>
    </xf>
    <xf numFmtId="6" fontId="6" fillId="0" borderId="0" xfId="0" applyNumberFormat="1" applyFont="1" applyBorder="1" applyAlignment="1">
      <alignment horizontal="center"/>
    </xf>
    <xf numFmtId="179" fontId="5" fillId="0" borderId="0" xfId="0" applyNumberFormat="1" applyFont="1" applyAlignment="1" applyProtection="1">
      <alignment horizontal="center"/>
      <protection hidden="1"/>
    </xf>
    <xf numFmtId="178" fontId="5" fillId="0" borderId="0" xfId="0" applyNumberFormat="1" applyFont="1" applyAlignment="1" applyProtection="1">
      <alignment horizontal="center"/>
      <protection hidden="1"/>
    </xf>
    <xf numFmtId="172" fontId="5" fillId="0" borderId="0" xfId="0" applyNumberFormat="1" applyFont="1" applyAlignment="1" applyProtection="1">
      <alignment horizontal="center"/>
      <protection hidden="1"/>
    </xf>
    <xf numFmtId="166" fontId="5" fillId="0" borderId="0" xfId="0" applyFont="1" applyAlignment="1" applyProtection="1">
      <alignment horizontal="center"/>
      <protection hidden="1"/>
    </xf>
    <xf numFmtId="175" fontId="5" fillId="0" borderId="0" xfId="0" applyNumberFormat="1" applyFont="1" applyAlignment="1" applyProtection="1">
      <alignment horizontal="center"/>
      <protection hidden="1"/>
    </xf>
    <xf numFmtId="3" fontId="6" fillId="12" borderId="0" xfId="0" applyNumberFormat="1" applyFont="1" applyFill="1" applyAlignment="1">
      <alignment horizontal="center"/>
    </xf>
    <xf numFmtId="174" fontId="6" fillId="11" borderId="0" xfId="0" applyNumberFormat="1" applyFont="1" applyFill="1" applyAlignment="1">
      <alignment horizontal="center"/>
    </xf>
    <xf numFmtId="172" fontId="6" fillId="11" borderId="0" xfId="0" applyNumberFormat="1" applyFont="1" applyFill="1" applyAlignment="1">
      <alignment horizontal="center"/>
    </xf>
    <xf numFmtId="172" fontId="5" fillId="10" borderId="0" xfId="0" applyNumberFormat="1" applyFont="1" applyFill="1" applyAlignment="1">
      <alignment horizontal="center"/>
    </xf>
    <xf numFmtId="5" fontId="5" fillId="10" borderId="0" xfId="0" applyNumberFormat="1" applyFont="1" applyFill="1" applyAlignment="1">
      <alignment horizontal="center"/>
    </xf>
    <xf numFmtId="172" fontId="5" fillId="10" borderId="0" xfId="2" applyNumberFormat="1" applyFont="1" applyFill="1" applyBorder="1" applyAlignment="1">
      <alignment horizontal="center"/>
    </xf>
    <xf numFmtId="38" fontId="5" fillId="10" borderId="0" xfId="0" applyNumberFormat="1" applyFont="1" applyFill="1" applyAlignment="1">
      <alignment horizontal="center"/>
    </xf>
    <xf numFmtId="7" fontId="5" fillId="10" borderId="0" xfId="0" applyNumberFormat="1" applyFont="1" applyFill="1" applyAlignment="1" applyProtection="1">
      <alignment horizontal="center"/>
    </xf>
    <xf numFmtId="7" fontId="5" fillId="10" borderId="0" xfId="0" applyNumberFormat="1" applyFont="1" applyFill="1" applyAlignment="1">
      <alignment horizontal="center"/>
    </xf>
    <xf numFmtId="7" fontId="5" fillId="10" borderId="0" xfId="0" applyNumberFormat="1" applyFont="1" applyFill="1" applyBorder="1" applyAlignment="1">
      <alignment horizontal="center"/>
    </xf>
    <xf numFmtId="17" fontId="6" fillId="10" borderId="0" xfId="0" applyNumberFormat="1" applyFont="1" applyFill="1" applyAlignment="1">
      <alignment horizontal="center"/>
    </xf>
    <xf numFmtId="3" fontId="5" fillId="10" borderId="0" xfId="0" quotePrefix="1" applyNumberFormat="1" applyFont="1" applyFill="1" applyBorder="1" applyAlignment="1">
      <alignment horizontal="center"/>
    </xf>
    <xf numFmtId="3" fontId="5" fillId="10" borderId="0" xfId="0" applyNumberFormat="1" applyFont="1" applyFill="1" applyBorder="1" applyAlignment="1">
      <alignment horizontal="center"/>
    </xf>
    <xf numFmtId="172" fontId="5" fillId="10" borderId="0" xfId="0" applyNumberFormat="1" applyFont="1" applyFill="1" applyAlignment="1" applyProtection="1">
      <alignment horizontal="center"/>
    </xf>
    <xf numFmtId="166" fontId="5" fillId="13" borderId="0" xfId="0" applyFont="1" applyFill="1" applyAlignment="1">
      <alignment horizontal="center"/>
    </xf>
    <xf numFmtId="172" fontId="5" fillId="13" borderId="0" xfId="0" applyNumberFormat="1" applyFont="1" applyFill="1" applyAlignment="1">
      <alignment horizontal="center"/>
    </xf>
    <xf numFmtId="181" fontId="9" fillId="11" borderId="0" xfId="1" applyNumberFormat="1" applyFont="1" applyFill="1" applyAlignment="1">
      <alignment horizontal="center"/>
    </xf>
    <xf numFmtId="172" fontId="5" fillId="11" borderId="0" xfId="4" applyNumberFormat="1" applyFont="1" applyFill="1" applyAlignment="1">
      <alignment horizontal="center"/>
    </xf>
    <xf numFmtId="5" fontId="5" fillId="11" borderId="0" xfId="4" applyNumberFormat="1" applyFont="1" applyFill="1" applyAlignment="1">
      <alignment horizontal="center"/>
    </xf>
    <xf numFmtId="3" fontId="5" fillId="11" borderId="0" xfId="4" applyNumberFormat="1" applyFont="1" applyFill="1" applyAlignment="1">
      <alignment horizontal="center"/>
    </xf>
    <xf numFmtId="181" fontId="9" fillId="11" borderId="0" xfId="1" applyNumberFormat="1" applyFont="1" applyFill="1" applyBorder="1" applyAlignment="1">
      <alignment horizontal="center"/>
    </xf>
    <xf numFmtId="174" fontId="5" fillId="9" borderId="0" xfId="0" applyNumberFormat="1" applyFont="1" applyFill="1" applyAlignment="1">
      <alignment horizontal="center"/>
    </xf>
    <xf numFmtId="38" fontId="5" fillId="10" borderId="0" xfId="0" applyNumberFormat="1" applyFont="1" applyFill="1" applyBorder="1" applyAlignment="1">
      <alignment horizontal="center"/>
    </xf>
    <xf numFmtId="38" fontId="9" fillId="11" borderId="0" xfId="1" applyNumberFormat="1" applyFont="1" applyFill="1" applyAlignment="1">
      <alignment horizontal="center"/>
    </xf>
    <xf numFmtId="8" fontId="5" fillId="11" borderId="0" xfId="0" applyNumberFormat="1" applyFont="1" applyFill="1" applyAlignment="1">
      <alignment horizontal="center"/>
    </xf>
    <xf numFmtId="3" fontId="5" fillId="10" borderId="0" xfId="5" applyNumberFormat="1" applyFont="1" applyFill="1" applyBorder="1" applyAlignment="1">
      <alignment horizontal="center"/>
    </xf>
    <xf numFmtId="173" fontId="5" fillId="10" borderId="0" xfId="0" applyNumberFormat="1" applyFont="1" applyFill="1" applyBorder="1" applyAlignment="1">
      <alignment horizontal="center"/>
    </xf>
    <xf numFmtId="6" fontId="5" fillId="11" borderId="0" xfId="0" applyNumberFormat="1" applyFont="1" applyFill="1" applyAlignment="1">
      <alignment horizontal="center"/>
    </xf>
    <xf numFmtId="5" fontId="5" fillId="0" borderId="0" xfId="0" applyNumberFormat="1" applyFont="1" applyBorder="1" applyAlignment="1">
      <alignment horizontal="center"/>
    </xf>
    <xf numFmtId="6" fontId="5" fillId="4" borderId="0" xfId="0" applyNumberFormat="1" applyFont="1" applyFill="1" applyAlignment="1">
      <alignment horizontal="center"/>
    </xf>
    <xf numFmtId="172" fontId="5" fillId="10" borderId="0" xfId="0" applyNumberFormat="1" applyFont="1" applyFill="1" applyBorder="1" applyAlignment="1">
      <alignment horizontal="center"/>
    </xf>
    <xf numFmtId="181" fontId="9" fillId="11" borderId="0" xfId="1" applyNumberFormat="1" applyFont="1" applyFill="1" applyAlignment="1"/>
    <xf numFmtId="172" fontId="5" fillId="11" borderId="0" xfId="0" applyNumberFormat="1" applyFont="1" applyFill="1" applyAlignment="1"/>
    <xf numFmtId="6" fontId="5" fillId="11" borderId="0" xfId="0" applyNumberFormat="1" applyFont="1" applyFill="1" applyAlignment="1"/>
    <xf numFmtId="174" fontId="5" fillId="11" borderId="0" xfId="0" applyNumberFormat="1" applyFont="1" applyFill="1" applyAlignment="1">
      <alignment horizontal="center"/>
    </xf>
    <xf numFmtId="166" fontId="5" fillId="0" borderId="0" xfId="0" quotePrefix="1" applyFont="1" applyAlignment="1">
      <alignment horizontal="center"/>
    </xf>
    <xf numFmtId="166" fontId="5" fillId="0" borderId="0" xfId="0" quotePrefix="1" applyFont="1" applyFill="1" applyAlignment="1">
      <alignment horizontal="center"/>
    </xf>
    <xf numFmtId="166" fontId="5" fillId="3" borderId="0" xfId="0" quotePrefix="1" applyFont="1" applyFill="1" applyAlignment="1">
      <alignment horizontal="center"/>
    </xf>
    <xf numFmtId="166" fontId="5" fillId="9" borderId="0" xfId="0" quotePrefix="1" applyFont="1" applyFill="1" applyAlignment="1">
      <alignment horizontal="center"/>
    </xf>
    <xf numFmtId="166" fontId="5" fillId="12" borderId="0" xfId="0" quotePrefix="1" applyFont="1" applyFill="1" applyAlignment="1">
      <alignment horizontal="center"/>
    </xf>
    <xf numFmtId="172" fontId="0" fillId="0" borderId="0" xfId="0" applyNumberFormat="1"/>
    <xf numFmtId="172" fontId="5" fillId="12" borderId="0" xfId="0" applyNumberFormat="1" applyFont="1" applyFill="1" applyAlignment="1">
      <alignment horizontal="center"/>
    </xf>
    <xf numFmtId="184" fontId="5" fillId="12" borderId="0" xfId="0" applyNumberFormat="1" applyFont="1" applyFill="1" applyAlignment="1">
      <alignment horizontal="center"/>
    </xf>
    <xf numFmtId="166" fontId="5" fillId="12" borderId="0" xfId="0" applyFont="1" applyFill="1" applyAlignment="1">
      <alignment horizontal="center"/>
    </xf>
    <xf numFmtId="38" fontId="6" fillId="10" borderId="0" xfId="0" applyNumberFormat="1" applyFont="1" applyFill="1" applyAlignment="1">
      <alignment horizontal="center"/>
    </xf>
    <xf numFmtId="181" fontId="5" fillId="11" borderId="0" xfId="1" applyNumberFormat="1" applyFont="1" applyFill="1" applyAlignment="1">
      <alignment horizontal="center"/>
    </xf>
    <xf numFmtId="181" fontId="5" fillId="0" borderId="0" xfId="1" applyNumberFormat="1" applyFont="1" applyFill="1" applyAlignment="1"/>
    <xf numFmtId="173" fontId="6" fillId="14" borderId="0" xfId="0" applyNumberFormat="1" applyFont="1" applyFill="1" applyAlignment="1">
      <alignment horizontal="center"/>
    </xf>
    <xf numFmtId="166" fontId="5" fillId="14" borderId="0" xfId="0" applyFont="1" applyFill="1" applyAlignment="1">
      <alignment horizontal="center"/>
    </xf>
    <xf numFmtId="37" fontId="5" fillId="11" borderId="0" xfId="1" applyNumberFormat="1" applyFont="1" applyFill="1" applyAlignment="1">
      <alignment horizontal="center"/>
    </xf>
    <xf numFmtId="3" fontId="5" fillId="11" borderId="0" xfId="4" applyNumberFormat="1" applyFont="1" applyFill="1"/>
    <xf numFmtId="8" fontId="6" fillId="11" borderId="0" xfId="0" applyNumberFormat="1" applyFont="1" applyFill="1" applyAlignment="1">
      <alignment horizontal="center"/>
    </xf>
    <xf numFmtId="38" fontId="5" fillId="11" borderId="0" xfId="4" applyNumberFormat="1" applyFont="1" applyFill="1" applyAlignment="1">
      <alignment horizontal="center"/>
    </xf>
    <xf numFmtId="0" fontId="0" fillId="0" borderId="0" xfId="0" applyNumberFormat="1"/>
    <xf numFmtId="172" fontId="0" fillId="0" borderId="0" xfId="0" applyNumberFormat="1" applyAlignment="1">
      <alignment horizontal="center"/>
    </xf>
    <xf numFmtId="179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 applyFill="1"/>
    <xf numFmtId="9" fontId="0" fillId="0" borderId="0" xfId="0" applyNumberFormat="1"/>
    <xf numFmtId="176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NumberFormat="1" applyFill="1" applyAlignment="1">
      <alignment horizontal="center"/>
    </xf>
    <xf numFmtId="172" fontId="0" fillId="2" borderId="0" xfId="0" applyNumberFormat="1" applyFill="1" applyAlignment="1">
      <alignment horizontal="center"/>
    </xf>
    <xf numFmtId="179" fontId="0" fillId="2" borderId="0" xfId="0" applyNumberFormat="1" applyFill="1" applyAlignment="1">
      <alignment horizontal="center"/>
    </xf>
    <xf numFmtId="178" fontId="0" fillId="0" borderId="0" xfId="0" applyNumberFormat="1" applyAlignment="1">
      <alignment horizontal="center"/>
    </xf>
    <xf numFmtId="175" fontId="0" fillId="2" borderId="0" xfId="0" applyNumberFormat="1" applyFill="1" applyAlignment="1">
      <alignment horizontal="center"/>
    </xf>
    <xf numFmtId="175" fontId="0" fillId="0" borderId="0" xfId="0" applyNumberFormat="1" applyFill="1" applyAlignment="1">
      <alignment horizontal="center"/>
    </xf>
    <xf numFmtId="178" fontId="0" fillId="2" borderId="0" xfId="0" applyNumberFormat="1" applyFill="1" applyAlignment="1">
      <alignment horizontal="center"/>
    </xf>
    <xf numFmtId="178" fontId="0" fillId="3" borderId="0" xfId="0" applyNumberFormat="1" applyFill="1" applyAlignment="1">
      <alignment horizontal="center"/>
    </xf>
    <xf numFmtId="9" fontId="0" fillId="0" borderId="0" xfId="0" applyNumberFormat="1" applyFill="1" applyAlignment="1">
      <alignment horizontal="center"/>
    </xf>
    <xf numFmtId="3" fontId="0" fillId="0" borderId="0" xfId="0" applyNumberFormat="1" applyAlignment="1">
      <alignment horizontal="left"/>
    </xf>
    <xf numFmtId="175" fontId="0" fillId="0" borderId="0" xfId="0" applyNumberFormat="1" applyAlignment="1">
      <alignment horizontal="center"/>
    </xf>
    <xf numFmtId="166" fontId="6" fillId="0" borderId="0" xfId="0" applyFont="1" applyBorder="1"/>
    <xf numFmtId="180" fontId="5" fillId="0" borderId="0" xfId="0" applyNumberFormat="1" applyFont="1" applyBorder="1" applyAlignment="1">
      <alignment horizontal="center"/>
    </xf>
    <xf numFmtId="180" fontId="5" fillId="0" borderId="6" xfId="0" applyNumberFormat="1" applyFont="1" applyBorder="1" applyAlignment="1">
      <alignment horizontal="center"/>
    </xf>
    <xf numFmtId="186" fontId="5" fillId="0" borderId="0" xfId="0" applyNumberFormat="1" applyFont="1" applyBorder="1" applyAlignment="1">
      <alignment horizontal="left"/>
    </xf>
    <xf numFmtId="3" fontId="14" fillId="10" borderId="0" xfId="0" applyNumberFormat="1" applyFont="1" applyFill="1" applyBorder="1" applyAlignment="1">
      <alignment horizontal="center"/>
    </xf>
    <xf numFmtId="174" fontId="5" fillId="12" borderId="0" xfId="0" applyNumberFormat="1" applyFont="1" applyFill="1" applyAlignment="1">
      <alignment horizontal="center"/>
    </xf>
    <xf numFmtId="3" fontId="5" fillId="10" borderId="0" xfId="1" applyNumberFormat="1" applyFont="1" applyFill="1" applyBorder="1" applyAlignment="1">
      <alignment horizontal="center"/>
    </xf>
    <xf numFmtId="173" fontId="5" fillId="10" borderId="0" xfId="1" applyNumberFormat="1" applyFont="1" applyFill="1" applyBorder="1" applyAlignment="1">
      <alignment horizontal="center"/>
    </xf>
    <xf numFmtId="9" fontId="5" fillId="0" borderId="0" xfId="4" applyNumberFormat="1" applyFont="1" applyFill="1" applyAlignment="1">
      <alignment horizontal="center"/>
    </xf>
    <xf numFmtId="182" fontId="5" fillId="11" borderId="0" xfId="0" applyNumberFormat="1" applyFont="1" applyFill="1" applyAlignment="1">
      <alignment horizontal="center"/>
    </xf>
    <xf numFmtId="174" fontId="5" fillId="10" borderId="0" xfId="0" applyNumberFormat="1" applyFont="1" applyFill="1" applyAlignment="1">
      <alignment horizontal="center"/>
    </xf>
    <xf numFmtId="17" fontId="6" fillId="0" borderId="0" xfId="0" applyNumberFormat="1" applyFont="1" applyAlignment="1">
      <alignment horizontal="left"/>
    </xf>
    <xf numFmtId="181" fontId="22" fillId="0" borderId="0" xfId="1" applyNumberFormat="1" applyFont="1" applyFill="1" applyAlignment="1">
      <alignment horizontal="center"/>
    </xf>
    <xf numFmtId="181" fontId="22" fillId="11" borderId="0" xfId="1" applyNumberFormat="1" applyFont="1" applyFill="1" applyAlignment="1">
      <alignment horizontal="center"/>
    </xf>
    <xf numFmtId="3" fontId="5" fillId="15" borderId="0" xfId="0" applyNumberFormat="1" applyFont="1" applyFill="1" applyAlignment="1">
      <alignment horizontal="center"/>
    </xf>
    <xf numFmtId="169" fontId="5" fillId="10" borderId="0" xfId="0" applyNumberFormat="1" applyFont="1" applyFill="1" applyAlignment="1">
      <alignment horizontal="center"/>
    </xf>
    <xf numFmtId="169" fontId="0" fillId="0" borderId="0" xfId="0" applyNumberFormat="1" applyFill="1" applyAlignment="1">
      <alignment horizontal="center"/>
    </xf>
    <xf numFmtId="5" fontId="5" fillId="0" borderId="0" xfId="0" applyNumberFormat="1" applyFont="1" applyFill="1" applyBorder="1" applyAlignment="1" applyProtection="1">
      <alignment horizontal="center"/>
    </xf>
  </cellXfs>
  <cellStyles count="6">
    <cellStyle name="Comma" xfId="1" builtinId="3"/>
    <cellStyle name="Currency" xfId="2" builtinId="4"/>
    <cellStyle name="Normal" xfId="0" builtinId="0"/>
    <cellStyle name="Normal_HEDGING HISTORY" xfId="3"/>
    <cellStyle name="Normal_nira11-08-Final-Nov-08" xfId="5"/>
    <cellStyle name="Normal_PIPELINE COSTS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FF00"/>
      <color rgb="FF66FF99"/>
      <color rgb="FFCCFFCC"/>
      <color rgb="FFCCFFFF"/>
      <color rgb="FFCCECFF"/>
      <color rgb="FF99FFCC"/>
      <color rgb="FFFFFFFF"/>
      <color rgb="FFFF0000"/>
      <color rgb="FF00FFFF"/>
      <color rgb="FF00FFCC"/>
    </mruColors>
  </colors>
</styleSheet>
</file>

<file path=xl/volatileDependencies.xml><?xml version="1.0" encoding="utf-8"?>
<volTypes xmlns="http://schemas.openxmlformats.org/spreadsheetml/2006/main">
  <volType type="realTimeData">
    <main first="esrtd">
      <tp>
        <v>3.4079999999999999</v>
        <stp/>
        <stp>NG 11!</stp>
        <stp>PrevPrice</stp>
        <tr r="Y149" s="16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2.xml"/><Relationship Id="rId33" Type="http://schemas.openxmlformats.org/officeDocument/2006/relationships/volatileDependencies" Target="volatileDependenci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4.xml"/><Relationship Id="rId30" Type="http://schemas.openxmlformats.org/officeDocument/2006/relationships/styles" Target="styles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6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7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0203 PGC Monthly Cost &amp; Revenue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74852992"/>
        <c:axId val="74867456"/>
      </c:lineChart>
      <c:catAx>
        <c:axId val="748529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867456"/>
        <c:crosses val="autoZero"/>
        <c:auto val="1"/>
        <c:lblAlgn val="ctr"/>
        <c:lblOffset val="100"/>
        <c:tickLblSkip val="1"/>
        <c:tickMarkSkip val="1"/>
      </c:catAx>
      <c:valAx>
        <c:axId val="7486745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85299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 horizontalDpi="1200" verticalDpi="12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0203 Cumulative Cost &amp; Revenue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74900608"/>
        <c:axId val="74902528"/>
      </c:lineChart>
      <c:catAx>
        <c:axId val="749006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902528"/>
        <c:crosses val="autoZero"/>
        <c:auto val="1"/>
        <c:lblAlgn val="ctr"/>
        <c:lblOffset val="100"/>
        <c:tickLblSkip val="1"/>
        <c:tickMarkSkip val="1"/>
      </c:catAx>
      <c:valAx>
        <c:axId val="7490252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90060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 horizontalDpi="1200" verticalDpi="12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0203 PGC Unit Cost vs Rate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74810112"/>
        <c:axId val="74812032"/>
      </c:lineChart>
      <c:catAx>
        <c:axId val="748101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812032"/>
        <c:crosses val="autoZero"/>
        <c:auto val="1"/>
        <c:lblAlgn val="ctr"/>
        <c:lblOffset val="100"/>
        <c:tickLblSkip val="1"/>
        <c:tickMarkSkip val="1"/>
      </c:catAx>
      <c:valAx>
        <c:axId val="7481203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$/Mcf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81011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 horizontalDpi="1200" verticalDpi="12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0203 PGC Monthly and Cumulative Cost Recovery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75115520"/>
        <c:axId val="75146368"/>
      </c:lineChart>
      <c:catAx>
        <c:axId val="751155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146368"/>
        <c:crosses val="autoZero"/>
        <c:auto val="1"/>
        <c:lblAlgn val="ctr"/>
        <c:lblOffset val="100"/>
        <c:tickLblSkip val="1"/>
        <c:tickMarkSkip val="1"/>
      </c:catAx>
      <c:valAx>
        <c:axId val="75146368"/>
        <c:scaling>
          <c:orientation val="minMax"/>
          <c:max val="7.5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115520"/>
        <c:crosses val="autoZero"/>
        <c:crossBetween val="between"/>
        <c:majorUnit val="1"/>
        <c:minorUnit val="0.25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 horizontalDpi="1200" verticalDpi="12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0304 PGC Unit Cost vs Rate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75185152"/>
        <c:axId val="75191424"/>
      </c:lineChart>
      <c:catAx>
        <c:axId val="751851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191424"/>
        <c:crosses val="autoZero"/>
        <c:auto val="1"/>
        <c:lblAlgn val="ctr"/>
        <c:lblOffset val="100"/>
        <c:tickLblSkip val="1"/>
        <c:tickMarkSkip val="1"/>
      </c:catAx>
      <c:valAx>
        <c:axId val="7519142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$/Mcf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18515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0304 PGC Monthly Cost &amp; Revenue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75220480"/>
        <c:axId val="75222400"/>
      </c:lineChart>
      <c:catAx>
        <c:axId val="752204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222400"/>
        <c:crosses val="autoZero"/>
        <c:auto val="1"/>
        <c:lblAlgn val="ctr"/>
        <c:lblOffset val="100"/>
        <c:tickLblSkip val="1"/>
        <c:tickMarkSkip val="1"/>
      </c:catAx>
      <c:valAx>
        <c:axId val="7522240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22048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0304 Cumulative Cost &amp; Revenue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75067392"/>
        <c:axId val="75069312"/>
      </c:lineChart>
      <c:catAx>
        <c:axId val="750673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069312"/>
        <c:crosses val="autoZero"/>
        <c:auto val="1"/>
        <c:lblAlgn val="ctr"/>
        <c:lblOffset val="100"/>
        <c:tickLblSkip val="1"/>
        <c:tickMarkSkip val="1"/>
      </c:catAx>
      <c:valAx>
        <c:axId val="7506931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06739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0304 PGC Monthly and Cumulative Cost Recovery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75323648"/>
        <c:axId val="75334016"/>
      </c:lineChart>
      <c:catAx>
        <c:axId val="753236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334016"/>
        <c:crosses val="autoZero"/>
        <c:auto val="1"/>
        <c:lblAlgn val="ctr"/>
        <c:lblOffset val="100"/>
        <c:tickLblSkip val="1"/>
        <c:tickMarkSkip val="1"/>
      </c:catAx>
      <c:valAx>
        <c:axId val="7533401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323648"/>
        <c:crosses val="autoZero"/>
        <c:crossBetween val="between"/>
        <c:majorUnit val="5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 horizontalDpi="1200" verticalDpi="1200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0405 PGC Unit Cost vs Rate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75348224"/>
        <c:axId val="75252096"/>
      </c:lineChart>
      <c:catAx>
        <c:axId val="753482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252096"/>
        <c:crosses val="autoZero"/>
        <c:auto val="1"/>
        <c:lblAlgn val="ctr"/>
        <c:lblOffset val="100"/>
        <c:tickLblSkip val="1"/>
        <c:tickMarkSkip val="1"/>
      </c:catAx>
      <c:valAx>
        <c:axId val="7525209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$/Mcf</a:t>
                </a:r>
              </a:p>
            </c:rich>
          </c:tx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34822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0405 PGC Monthly Cost &amp; Revenue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75293440"/>
        <c:axId val="75295360"/>
      </c:lineChart>
      <c:catAx>
        <c:axId val="752934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295360"/>
        <c:crosses val="autoZero"/>
        <c:auto val="1"/>
        <c:lblAlgn val="ctr"/>
        <c:lblOffset val="100"/>
        <c:tickLblSkip val="1"/>
        <c:tickMarkSkip val="1"/>
      </c:catAx>
      <c:valAx>
        <c:axId val="7529536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29344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0405 Cumulative Cost &amp; Revenue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75398144"/>
        <c:axId val="75404416"/>
      </c:lineChart>
      <c:catAx>
        <c:axId val="753981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404416"/>
        <c:crosses val="autoZero"/>
        <c:auto val="1"/>
        <c:lblAlgn val="ctr"/>
        <c:lblOffset val="100"/>
        <c:tickLblSkip val="1"/>
        <c:tickMarkSkip val="1"/>
      </c:catAx>
      <c:valAx>
        <c:axId val="7540441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39814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0405 PGC Monthly and Cumulative Cost Recovery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75425280"/>
        <c:axId val="75427200"/>
      </c:lineChart>
      <c:catAx>
        <c:axId val="754252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427200"/>
        <c:crosses val="autoZero"/>
        <c:auto val="1"/>
        <c:lblAlgn val="ctr"/>
        <c:lblOffset val="100"/>
        <c:tickLblSkip val="1"/>
        <c:tickMarkSkip val="1"/>
      </c:catAx>
      <c:valAx>
        <c:axId val="7542720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5425280"/>
        <c:crosses val="autoZero"/>
        <c:crossBetween val="between"/>
        <c:majorUnit val="5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 horizontalDpi="1200" verticalDpi="1200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Metered Mcfs vs Sales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03735680"/>
        <c:axId val="103737216"/>
      </c:barChart>
      <c:catAx>
        <c:axId val="1037356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737216"/>
        <c:crosses val="autoZero"/>
        <c:auto val="1"/>
        <c:lblAlgn val="ctr"/>
        <c:lblOffset val="100"/>
        <c:tickLblSkip val="1"/>
        <c:tickMarkSkip val="1"/>
      </c:catAx>
      <c:valAx>
        <c:axId val="10373721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73568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0405 PGC Unit Cost vs Rate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91205632"/>
        <c:axId val="91207552"/>
      </c:lineChart>
      <c:catAx>
        <c:axId val="912056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1207552"/>
        <c:crosses val="autoZero"/>
        <c:auto val="1"/>
        <c:lblAlgn val="ctr"/>
        <c:lblOffset val="100"/>
        <c:tickLblSkip val="1"/>
        <c:tickMarkSkip val="1"/>
      </c:catAx>
      <c:valAx>
        <c:axId val="9120755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$/Mcf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120563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0405 PGC Monthly Cost &amp; Revenue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03721216"/>
        <c:axId val="107118976"/>
      </c:lineChart>
      <c:catAx>
        <c:axId val="1037212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118976"/>
        <c:crosses val="autoZero"/>
        <c:auto val="1"/>
        <c:lblAlgn val="ctr"/>
        <c:lblOffset val="100"/>
        <c:tickLblSkip val="1"/>
        <c:tickMarkSkip val="1"/>
      </c:catAx>
      <c:valAx>
        <c:axId val="10711897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72121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0405 Cumulative Cost &amp; Revenue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07168512"/>
        <c:axId val="107170432"/>
      </c:lineChart>
      <c:catAx>
        <c:axId val="1071685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170432"/>
        <c:crosses val="autoZero"/>
        <c:auto val="1"/>
        <c:lblAlgn val="ctr"/>
        <c:lblOffset val="100"/>
        <c:tickLblSkip val="1"/>
        <c:tickMarkSkip val="1"/>
      </c:catAx>
      <c:valAx>
        <c:axId val="10717043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16851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0405 PGC Monthly and Cumulative Cost Recovery</a:t>
            </a:r>
          </a:p>
        </c:rich>
      </c:tx>
      <c:spPr>
        <a:noFill/>
        <a:ln w="25400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07024768"/>
        <c:axId val="107208064"/>
      </c:lineChart>
      <c:catAx>
        <c:axId val="1070247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208064"/>
        <c:crosses val="autoZero"/>
        <c:auto val="1"/>
        <c:lblAlgn val="ctr"/>
        <c:lblOffset val="100"/>
        <c:tickLblSkip val="1"/>
        <c:tickMarkSkip val="1"/>
      </c:catAx>
      <c:valAx>
        <c:axId val="10720806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024768"/>
        <c:crosses val="autoZero"/>
        <c:crossBetween val="between"/>
        <c:majorUnit val="5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5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Monthly Cost &amp; Revenue</a:t>
            </a:r>
          </a:p>
        </c:rich>
      </c:tx>
      <c:layout>
        <c:manualLayout>
          <c:xMode val="edge"/>
          <c:yMode val="edge"/>
          <c:x val="0.37312149480429152"/>
          <c:y val="2.814262252306180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256419112320329"/>
          <c:y val="0.17823639774860267"/>
          <c:w val="0.8735639726700416"/>
          <c:h val="0.60975609756101357"/>
        </c:manualLayout>
      </c:layout>
      <c:lineChart>
        <c:grouping val="standard"/>
        <c:ser>
          <c:idx val="0"/>
          <c:order val="0"/>
          <c:tx>
            <c:strRef>
              <c:f>'PGC GRAPHS'!$A$59</c:f>
              <c:strCache>
                <c:ptCount val="1"/>
                <c:pt idx="0">
                  <c:v>COSTS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GRAPHS'!$B$58:$M$58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GRAPHS'!$B$59:$M$59</c:f>
              <c:numCache>
                <c:formatCode>"$"#,##0.0</c:formatCode>
                <c:ptCount val="12"/>
                <c:pt idx="0">
                  <c:v>2.2996329156107693</c:v>
                </c:pt>
                <c:pt idx="1">
                  <c:v>2.4578812431830421</c:v>
                </c:pt>
                <c:pt idx="2">
                  <c:v>2.4258011351788267</c:v>
                </c:pt>
                <c:pt idx="3">
                  <c:v>3.9442778313945097</c:v>
                </c:pt>
                <c:pt idx="4">
                  <c:v>5.2142780559546242</c:v>
                </c:pt>
                <c:pt idx="5">
                  <c:v>7.7038597300199765</c:v>
                </c:pt>
                <c:pt idx="6">
                  <c:v>9.2786045931852978</c:v>
                </c:pt>
                <c:pt idx="7">
                  <c:v>7.6178343188165414</c:v>
                </c:pt>
                <c:pt idx="8">
                  <c:v>4.648655545650711</c:v>
                </c:pt>
                <c:pt idx="9">
                  <c:v>3.3827795148270199</c:v>
                </c:pt>
                <c:pt idx="10">
                  <c:v>2.007472123296048</c:v>
                </c:pt>
                <c:pt idx="11">
                  <c:v>1.9563206199739083</c:v>
                </c:pt>
              </c:numCache>
            </c:numRef>
          </c:val>
        </c:ser>
        <c:ser>
          <c:idx val="1"/>
          <c:order val="1"/>
          <c:tx>
            <c:strRef>
              <c:f>'PGC GRAPHS'!$A$61</c:f>
              <c:strCache>
                <c:ptCount val="1"/>
                <c:pt idx="0">
                  <c:v>REVENUE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GRAPHS'!$B$58:$M$58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GRAPHS'!$B$61:$M$61</c:f>
              <c:numCache>
                <c:formatCode>"$"#,##0.0</c:formatCode>
                <c:ptCount val="12"/>
                <c:pt idx="0">
                  <c:v>1.483077738</c:v>
                </c:pt>
                <c:pt idx="1">
                  <c:v>1.7266995380000003</c:v>
                </c:pt>
                <c:pt idx="2">
                  <c:v>1.9404084539999999</c:v>
                </c:pt>
                <c:pt idx="3">
                  <c:v>3.4964595160000007</c:v>
                </c:pt>
                <c:pt idx="4">
                  <c:v>6.605582032</c:v>
                </c:pt>
                <c:pt idx="5">
                  <c:v>9.006785292</c:v>
                </c:pt>
                <c:pt idx="6">
                  <c:v>10.308511728000001</c:v>
                </c:pt>
                <c:pt idx="7">
                  <c:v>9.1762411440000005</c:v>
                </c:pt>
                <c:pt idx="8">
                  <c:v>3.8702950199999999</c:v>
                </c:pt>
                <c:pt idx="9">
                  <c:v>2.7094210160000003</c:v>
                </c:pt>
                <c:pt idx="10">
                  <c:v>1.7642034600000001</c:v>
                </c:pt>
                <c:pt idx="11">
                  <c:v>1.3330765519999996</c:v>
                </c:pt>
              </c:numCache>
            </c:numRef>
          </c:val>
        </c:ser>
        <c:marker val="1"/>
        <c:axId val="107050496"/>
        <c:axId val="107052416"/>
      </c:lineChart>
      <c:dateAx>
        <c:axId val="107050496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05241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705241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4146748530323576E-2"/>
              <c:y val="0.42213892854036517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05049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4297124049547093"/>
          <c:y val="0.93621013747550563"/>
          <c:w val="0.19186575479130824"/>
          <c:h val="5.065667961095510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7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YTD PGC Cost &amp; Revenue</a:t>
            </a:r>
          </a:p>
        </c:rich>
      </c:tx>
      <c:layout>
        <c:manualLayout>
          <c:xMode val="edge"/>
          <c:yMode val="edge"/>
          <c:x val="0.37004473555849782"/>
          <c:y val="3.174605527250270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7224819701300443E-2"/>
          <c:y val="0.19727934842543957"/>
          <c:w val="0.88634513757082689"/>
          <c:h val="0.51020521144510789"/>
        </c:manualLayout>
      </c:layout>
      <c:lineChart>
        <c:grouping val="standard"/>
        <c:ser>
          <c:idx val="0"/>
          <c:order val="0"/>
          <c:tx>
            <c:strRef>
              <c:f>'PGC GRAPHS'!$A$90</c:f>
              <c:strCache>
                <c:ptCount val="1"/>
                <c:pt idx="0">
                  <c:v>COSTS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GRAPHS'!$B$89:$M$89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GRAPHS'!$B$90:$M$90</c:f>
              <c:numCache>
                <c:formatCode>"$"#,##0.0</c:formatCode>
                <c:ptCount val="12"/>
                <c:pt idx="0">
                  <c:v>2.2996329156107693</c:v>
                </c:pt>
                <c:pt idx="1">
                  <c:v>4.7575141587938106</c:v>
                </c:pt>
                <c:pt idx="2">
                  <c:v>7.1833152939726377</c:v>
                </c:pt>
                <c:pt idx="3">
                  <c:v>11.127593125367149</c:v>
                </c:pt>
                <c:pt idx="4">
                  <c:v>16.341871181321771</c:v>
                </c:pt>
                <c:pt idx="5">
                  <c:v>24.045730911341749</c:v>
                </c:pt>
                <c:pt idx="6">
                  <c:v>33.324335504527049</c:v>
                </c:pt>
                <c:pt idx="7">
                  <c:v>40.94216982334359</c:v>
                </c:pt>
                <c:pt idx="8">
                  <c:v>45.590825368994302</c:v>
                </c:pt>
                <c:pt idx="9">
                  <c:v>48.973604883821324</c:v>
                </c:pt>
                <c:pt idx="10">
                  <c:v>50.981077007117371</c:v>
                </c:pt>
                <c:pt idx="11">
                  <c:v>52.937397627091272</c:v>
                </c:pt>
              </c:numCache>
            </c:numRef>
          </c:val>
        </c:ser>
        <c:ser>
          <c:idx val="1"/>
          <c:order val="1"/>
          <c:tx>
            <c:strRef>
              <c:f>'PGC GRAPHS'!$A$91</c:f>
              <c:strCache>
                <c:ptCount val="1"/>
                <c:pt idx="0">
                  <c:v>REVENUE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GRAPHS'!$B$89:$M$89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GRAPHS'!$B$91:$M$91</c:f>
              <c:numCache>
                <c:formatCode>"$"#,##0.0</c:formatCode>
                <c:ptCount val="12"/>
                <c:pt idx="0">
                  <c:v>1.483077738</c:v>
                </c:pt>
                <c:pt idx="1">
                  <c:v>3.2097772760000005</c:v>
                </c:pt>
                <c:pt idx="2">
                  <c:v>5.1501857300000005</c:v>
                </c:pt>
                <c:pt idx="3">
                  <c:v>8.6466452460000021</c:v>
                </c:pt>
                <c:pt idx="4">
                  <c:v>15.252227278000001</c:v>
                </c:pt>
                <c:pt idx="5">
                  <c:v>24.259012569999999</c:v>
                </c:pt>
                <c:pt idx="6">
                  <c:v>34.567524298000002</c:v>
                </c:pt>
                <c:pt idx="7">
                  <c:v>43.743765442000004</c:v>
                </c:pt>
                <c:pt idx="8">
                  <c:v>47.614060462000005</c:v>
                </c:pt>
                <c:pt idx="9">
                  <c:v>50.323481478000005</c:v>
                </c:pt>
                <c:pt idx="10">
                  <c:v>52.08768493800001</c:v>
                </c:pt>
                <c:pt idx="11">
                  <c:v>53.420761490000011</c:v>
                </c:pt>
              </c:numCache>
            </c:numRef>
          </c:val>
        </c:ser>
        <c:marker val="1"/>
        <c:axId val="107298816"/>
        <c:axId val="107300736"/>
      </c:lineChart>
      <c:dateAx>
        <c:axId val="107298816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4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30073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730073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4096950270596638E-2"/>
              <c:y val="0.36281266018221747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29881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2202717580658139"/>
          <c:y val="0.91610189902732742"/>
          <c:w val="0.21674048266092363"/>
          <c:h val="6.802729658792651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20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7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 PGC Monthly &amp; Cumulative Cost Recovery</a:t>
            </a:r>
          </a:p>
        </c:rich>
      </c:tx>
      <c:layout>
        <c:manualLayout>
          <c:xMode val="edge"/>
          <c:yMode val="edge"/>
          <c:x val="0.28735654046796588"/>
          <c:y val="2.852046271993778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7533232079285553E-2"/>
          <c:y val="0.16399315534681971"/>
          <c:w val="0.88594240952973868"/>
          <c:h val="0.7219263903854557"/>
        </c:manualLayout>
      </c:layout>
      <c:lineChart>
        <c:grouping val="standard"/>
        <c:ser>
          <c:idx val="0"/>
          <c:order val="0"/>
          <c:tx>
            <c:strRef>
              <c:f>'PGC GRAPHS'!$A$112</c:f>
              <c:strCache>
                <c:ptCount val="1"/>
                <c:pt idx="0">
                  <c:v>MONTH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delete val="1"/>
          </c:dLbls>
          <c:cat>
            <c:numRef>
              <c:f>'PGC GRAPHS'!$B$111:$M$111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GRAPHS'!$B$112:$M$112</c:f>
              <c:numCache>
                <c:formatCode>"$"#,##0.0</c:formatCode>
                <c:ptCount val="12"/>
                <c:pt idx="0">
                  <c:v>-1.0165551776107693</c:v>
                </c:pt>
                <c:pt idx="1">
                  <c:v>-0.95118170518304157</c:v>
                </c:pt>
                <c:pt idx="2">
                  <c:v>-0.58539268117882681</c:v>
                </c:pt>
                <c:pt idx="3">
                  <c:v>-0.50781831539450917</c:v>
                </c:pt>
                <c:pt idx="4">
                  <c:v>1.3613039760453758</c:v>
                </c:pt>
                <c:pt idx="5">
                  <c:v>1.3029255619800231</c:v>
                </c:pt>
                <c:pt idx="6">
                  <c:v>1.029907134814702</c:v>
                </c:pt>
                <c:pt idx="7">
                  <c:v>1.5584068251834595</c:v>
                </c:pt>
                <c:pt idx="8">
                  <c:v>-0.81836052565071127</c:v>
                </c:pt>
                <c:pt idx="9">
                  <c:v>-0.82835849882701973</c:v>
                </c:pt>
                <c:pt idx="10">
                  <c:v>-0.42826866329604762</c:v>
                </c:pt>
                <c:pt idx="11">
                  <c:v>-0.81324406797390847</c:v>
                </c:pt>
              </c:numCache>
            </c:numRef>
          </c:val>
        </c:ser>
        <c:ser>
          <c:idx val="1"/>
          <c:order val="1"/>
          <c:tx>
            <c:strRef>
              <c:f>'PGC GRAPHS'!$A$113</c:f>
              <c:strCache>
                <c:ptCount val="1"/>
                <c:pt idx="0">
                  <c:v>CUMULATIVE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dLbls>
            <c:delete val="1"/>
          </c:dLbls>
          <c:cat>
            <c:numRef>
              <c:f>'PGC GRAPHS'!$B$111:$M$111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GRAPHS'!$B$113:$M$113</c:f>
              <c:numCache>
                <c:formatCode>"$"#,##0.0</c:formatCode>
                <c:ptCount val="12"/>
                <c:pt idx="0">
                  <c:v>7.3416737705199049</c:v>
                </c:pt>
                <c:pt idx="1">
                  <c:v>6.3904920653368631</c:v>
                </c:pt>
                <c:pt idx="2">
                  <c:v>5.8050993841580363</c:v>
                </c:pt>
                <c:pt idx="3">
                  <c:v>5.2972810687635281</c:v>
                </c:pt>
                <c:pt idx="4">
                  <c:v>6.6585850448089037</c:v>
                </c:pt>
                <c:pt idx="5">
                  <c:v>7.9615106067889272</c:v>
                </c:pt>
                <c:pt idx="6">
                  <c:v>8.9914177416036285</c:v>
                </c:pt>
                <c:pt idx="7">
                  <c:v>10.549824566787086</c:v>
                </c:pt>
                <c:pt idx="8">
                  <c:v>9.7314640411363751</c:v>
                </c:pt>
                <c:pt idx="9">
                  <c:v>8.9031055423093548</c:v>
                </c:pt>
                <c:pt idx="10">
                  <c:v>8.4748368790133082</c:v>
                </c:pt>
                <c:pt idx="11">
                  <c:v>7.6615928110393989</c:v>
                </c:pt>
              </c:numCache>
            </c:numRef>
          </c:val>
        </c:ser>
        <c:dLbls>
          <c:showVal val="1"/>
        </c:dLbls>
        <c:marker val="1"/>
        <c:axId val="107231488"/>
        <c:axId val="107233664"/>
      </c:lineChart>
      <c:dateAx>
        <c:axId val="107231488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4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233664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723366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4146748530323576E-2"/>
              <c:y val="0.45454632059881406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231488"/>
        <c:crosses val="autoZero"/>
        <c:crossBetween val="between"/>
        <c:majorUnit val="5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0760427593090254"/>
          <c:y val="0.93404802177505597"/>
          <c:w val="0.24580038507621357"/>
          <c:h val="5.34760377175075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20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4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Unit Cost vs Rate</a:t>
            </a:r>
          </a:p>
        </c:rich>
      </c:tx>
      <c:layout>
        <c:manualLayout>
          <c:xMode val="edge"/>
          <c:yMode val="edge"/>
          <c:x val="0.38701728978163447"/>
          <c:y val="2.814262252306180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2489728841413322"/>
          <c:y val="0.18761726078800514"/>
          <c:w val="0.8520953163517424"/>
          <c:h val="0.63414634146341464"/>
        </c:manualLayout>
      </c:layout>
      <c:lineChart>
        <c:grouping val="standard"/>
        <c:ser>
          <c:idx val="0"/>
          <c:order val="0"/>
          <c:tx>
            <c:strRef>
              <c:f>'PGC GRAPHS'!$X$6</c:f>
              <c:strCache>
                <c:ptCount val="1"/>
                <c:pt idx="0">
                  <c:v>PGC UNIT COST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GRAPHS'!$Y$3:$AJ$3</c:f>
              <c:numCache>
                <c:formatCode>mmm\-yy</c:formatCode>
                <c:ptCount val="1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41275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</c:numCache>
            </c:numRef>
          </c:cat>
          <c:val>
            <c:numRef>
              <c:f>'PGC GRAPHS'!$Y$6:$AJ$6</c:f>
              <c:numCache>
                <c:formatCode>"$"#,##0.00</c:formatCode>
                <c:ptCount val="12"/>
                <c:pt idx="0">
                  <c:v>10.236970319114549</c:v>
                </c:pt>
                <c:pt idx="1">
                  <c:v>10.490986102763692</c:v>
                </c:pt>
                <c:pt idx="2">
                  <c:v>9.4933179986920742</c:v>
                </c:pt>
                <c:pt idx="3">
                  <c:v>6.5227638073798548</c:v>
                </c:pt>
                <c:pt idx="4">
                  <c:v>5.453840634258766</c:v>
                </c:pt>
                <c:pt idx="5">
                  <c:v>5.0117897664199926</c:v>
                </c:pt>
                <c:pt idx="6">
                  <c:v>4.9836160533287943</c:v>
                </c:pt>
                <c:pt idx="7">
                  <c:v>5.2001112083138379</c:v>
                </c:pt>
                <c:pt idx="8">
                  <c:v>5.5498017866747684</c:v>
                </c:pt>
                <c:pt idx="9">
                  <c:v>6.3886762404550339</c:v>
                </c:pt>
                <c:pt idx="10">
                  <c:v>7.8980994715869581</c:v>
                </c:pt>
                <c:pt idx="11">
                  <c:v>10.378612354550016</c:v>
                </c:pt>
              </c:numCache>
            </c:numRef>
          </c:val>
        </c:ser>
        <c:ser>
          <c:idx val="1"/>
          <c:order val="1"/>
          <c:tx>
            <c:strRef>
              <c:f>'PGC GRAPHS'!$X$8</c:f>
              <c:strCache>
                <c:ptCount val="1"/>
                <c:pt idx="0">
                  <c:v>PGC RATE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GRAPHS'!$Y$3:$AJ$3</c:f>
              <c:numCache>
                <c:formatCode>mmm\-yy</c:formatCode>
                <c:ptCount val="1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41275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</c:numCache>
            </c:numRef>
          </c:cat>
          <c:val>
            <c:numRef>
              <c:f>'PGC GRAPHS'!$Y$8:$AJ$8</c:f>
              <c:numCache>
                <c:formatCode>"$"#,##0.00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ser>
          <c:idx val="2"/>
          <c:order val="2"/>
          <c:tx>
            <c:strRef>
              <c:f>'PGC GRAPHS'!$X$9</c:f>
              <c:strCache>
                <c:ptCount val="1"/>
                <c:pt idx="0">
                  <c:v>PGC UNIT COST (W/ AVG UNIT DEMAND) 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GRAPHS'!$Y$3:$AJ$3</c:f>
              <c:numCache>
                <c:formatCode>mmm\-yy</c:formatCode>
                <c:ptCount val="1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41275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</c:numCache>
            </c:numRef>
          </c:cat>
          <c:val>
            <c:numRef>
              <c:f>'PGC GRAPHS'!$Y$9:$AJ$9</c:f>
              <c:numCache>
                <c:formatCode>"$"#,##0.00</c:formatCode>
                <c:ptCount val="12"/>
                <c:pt idx="0">
                  <c:v>5.5180579873998523</c:v>
                </c:pt>
                <c:pt idx="1">
                  <c:v>5.7720737710489951</c:v>
                </c:pt>
                <c:pt idx="2">
                  <c:v>5.8496030357384488</c:v>
                </c:pt>
                <c:pt idx="3">
                  <c:v>5.7964075949681053</c:v>
                </c:pt>
                <c:pt idx="4">
                  <c:v>5.7925903041323243</c:v>
                </c:pt>
                <c:pt idx="5">
                  <c:v>5.9081266763413982</c:v>
                </c:pt>
                <c:pt idx="6">
                  <c:v>5.9762013563313747</c:v>
                </c:pt>
                <c:pt idx="7">
                  <c:v>5.9916791290523079</c:v>
                </c:pt>
                <c:pt idx="8">
                  <c:v>6.0789196885038059</c:v>
                </c:pt>
                <c:pt idx="9">
                  <c:v>6.1236237289911672</c:v>
                </c:pt>
                <c:pt idx="10">
                  <c:v>5.7718750717990375</c:v>
                </c:pt>
                <c:pt idx="11">
                  <c:v>5.7332207658031917</c:v>
                </c:pt>
              </c:numCache>
            </c:numRef>
          </c:val>
        </c:ser>
        <c:ser>
          <c:idx val="3"/>
          <c:order val="3"/>
          <c:tx>
            <c:strRef>
              <c:f>'PGC GRAPHS'!$X$10</c:f>
              <c:strCache>
                <c:ptCount val="1"/>
                <c:pt idx="0">
                  <c:v>NYMEX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cat>
            <c:numRef>
              <c:f>'PGC GRAPHS'!$Y$3:$AJ$3</c:f>
              <c:numCache>
                <c:formatCode>mmm\-yy</c:formatCode>
                <c:ptCount val="1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41275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</c:numCache>
            </c:numRef>
          </c:cat>
          <c:val>
            <c:numRef>
              <c:f>'PGC GRAPHS'!$Y$10:$AJ$10</c:f>
              <c:numCache>
                <c:formatCode>"$"#,##0.00</c:formatCode>
                <c:ptCount val="12"/>
                <c:pt idx="0">
                  <c:v>2.774</c:v>
                </c:pt>
                <c:pt idx="1">
                  <c:v>3.081</c:v>
                </c:pt>
                <c:pt idx="2">
                  <c:v>3.0760000000000001</c:v>
                </c:pt>
                <c:pt idx="3">
                  <c:v>3.0830000000000002</c:v>
                </c:pt>
                <c:pt idx="4">
                  <c:v>3.2189999999999999</c:v>
                </c:pt>
                <c:pt idx="5">
                  <c:v>3.4510000000000001</c:v>
                </c:pt>
                <c:pt idx="6">
                  <c:v>3.581</c:v>
                </c:pt>
                <c:pt idx="7">
                  <c:v>3.5870000000000002</c:v>
                </c:pt>
                <c:pt idx="8">
                  <c:v>3.5449999999999999</c:v>
                </c:pt>
                <c:pt idx="9">
                  <c:v>3.5070000000000001</c:v>
                </c:pt>
                <c:pt idx="10">
                  <c:v>3.5249999999999999</c:v>
                </c:pt>
                <c:pt idx="11">
                  <c:v>3.56</c:v>
                </c:pt>
              </c:numCache>
            </c:numRef>
          </c:val>
        </c:ser>
        <c:marker val="1"/>
        <c:axId val="107276928"/>
        <c:axId val="107417984"/>
      </c:lineChart>
      <c:dateAx>
        <c:axId val="107276928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417984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741798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5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$/Mcf</a:t>
                </a:r>
              </a:p>
            </c:rich>
          </c:tx>
          <c:layout>
            <c:manualLayout>
              <c:xMode val="edge"/>
              <c:yMode val="edge"/>
              <c:x val="2.136400307045298E-2"/>
              <c:y val="0.44840529436746462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27692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680361930732146"/>
          <c:y val="0.92495300660520063"/>
          <c:w val="0.75431392119895457"/>
          <c:h val="6.191360582851452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3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Monthly Cost &amp; Revenue</a:t>
            </a:r>
          </a:p>
        </c:rich>
      </c:tx>
      <c:layout>
        <c:manualLayout>
          <c:xMode val="edge"/>
          <c:yMode val="edge"/>
          <c:x val="0.35094964211004431"/>
          <c:y val="2.814262252306180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1725846407927333"/>
          <c:y val="0.20262664165103189"/>
          <c:w val="0.856317093311313"/>
          <c:h val="0.53095684803001852"/>
        </c:manualLayout>
      </c:layout>
      <c:lineChart>
        <c:grouping val="standard"/>
        <c:ser>
          <c:idx val="0"/>
          <c:order val="0"/>
          <c:tx>
            <c:strRef>
              <c:f>'PGC GRAPHS'!$X$59</c:f>
              <c:strCache>
                <c:ptCount val="1"/>
                <c:pt idx="0">
                  <c:v>COSTS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GRAPHS'!$Y$58:$AJ$58</c:f>
              <c:numCache>
                <c:formatCode>mmm\-yy</c:formatCode>
                <c:ptCount val="1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41275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</c:numCache>
            </c:numRef>
          </c:cat>
          <c:val>
            <c:numRef>
              <c:f>'PGC GRAPHS'!$Y$59:$AJ$59</c:f>
              <c:numCache>
                <c:formatCode>"$"#,##0.0</c:formatCode>
                <c:ptCount val="12"/>
                <c:pt idx="0">
                  <c:v>2.3376377397080121</c:v>
                </c:pt>
                <c:pt idx="1">
                  <c:v>2.4059410598365645</c:v>
                </c:pt>
                <c:pt idx="2">
                  <c:v>2.59668609258018</c:v>
                </c:pt>
                <c:pt idx="3">
                  <c:v>4.1309912999494411</c:v>
                </c:pt>
                <c:pt idx="4">
                  <c:v>5.9839443988294585</c:v>
                </c:pt>
                <c:pt idx="5">
                  <c:v>8.5645923738798402</c:v>
                </c:pt>
                <c:pt idx="6">
                  <c:v>9.4211677667659224</c:v>
                </c:pt>
                <c:pt idx="7">
                  <c:v>8.0350666214569433</c:v>
                </c:pt>
                <c:pt idx="8">
                  <c:v>6.9528580147031436</c:v>
                </c:pt>
                <c:pt idx="9">
                  <c:v>4.4790109254489572</c:v>
                </c:pt>
                <c:pt idx="10">
                  <c:v>2.9754552752959404</c:v>
                </c:pt>
                <c:pt idx="11">
                  <c:v>2.4003629960215878</c:v>
                </c:pt>
              </c:numCache>
            </c:numRef>
          </c:val>
        </c:ser>
        <c:ser>
          <c:idx val="1"/>
          <c:order val="1"/>
          <c:tx>
            <c:strRef>
              <c:f>'PGC GRAPHS'!$X$61</c:f>
              <c:strCache>
                <c:ptCount val="1"/>
                <c:pt idx="0">
                  <c:v>REVENUE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GRAPHS'!$Y$58:$AJ$58</c:f>
              <c:numCache>
                <c:formatCode>mmm\-yy</c:formatCode>
                <c:ptCount val="1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41275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</c:numCache>
            </c:numRef>
          </c:cat>
          <c:val>
            <c:numRef>
              <c:f>'PGC GRAPHS'!$Y$61:$AJ$61</c:f>
              <c:numCache>
                <c:formatCode>"$"#,##0.0</c:formatCode>
                <c:ptCount val="12"/>
                <c:pt idx="0">
                  <c:v>1.2767734399999999</c:v>
                </c:pt>
                <c:pt idx="1">
                  <c:v>1.2767734399999999</c:v>
                </c:pt>
                <c:pt idx="2">
                  <c:v>1.4886675600000001</c:v>
                </c:pt>
                <c:pt idx="3">
                  <c:v>3.2624808800000005</c:v>
                </c:pt>
                <c:pt idx="4">
                  <c:v>5.5379533200000006</c:v>
                </c:pt>
                <c:pt idx="5">
                  <c:v>8.528499140000001</c:v>
                </c:pt>
                <c:pt idx="6">
                  <c:v>9.4142804000000009</c:v>
                </c:pt>
                <c:pt idx="7">
                  <c:v>7.72357022</c:v>
                </c:pt>
                <c:pt idx="8">
                  <c:v>6.2897113400000002</c:v>
                </c:pt>
                <c:pt idx="9">
                  <c:v>3.5717136000000003</c:v>
                </c:pt>
                <c:pt idx="10">
                  <c:v>1.99707908</c:v>
                </c:pt>
                <c:pt idx="11">
                  <c:v>1.2842564999999999</c:v>
                </c:pt>
              </c:numCache>
            </c:numRef>
          </c:val>
        </c:ser>
        <c:marker val="1"/>
        <c:axId val="107455232"/>
        <c:axId val="107457152"/>
      </c:lineChart>
      <c:dateAx>
        <c:axId val="107455232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457152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745715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5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3212187910787421E-2"/>
              <c:y val="0.39212004932132088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45523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3848057262395906"/>
          <c:y val="0.92495300660520063"/>
          <c:w val="0.21304710871208879"/>
          <c:h val="6.191360582851452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3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0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YTD Cost &amp; Revenue</a:t>
            </a:r>
          </a:p>
        </c:rich>
      </c:tx>
      <c:layout>
        <c:manualLayout>
          <c:xMode val="edge"/>
          <c:yMode val="edge"/>
          <c:x val="0.38678486211954249"/>
          <c:y val="3.174605527250270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4826752618855762"/>
          <c:y val="0.26303913123390377"/>
          <c:w val="0.79129734085414949"/>
          <c:h val="0.35600985865278367"/>
        </c:manualLayout>
      </c:layout>
      <c:lineChart>
        <c:grouping val="standard"/>
        <c:ser>
          <c:idx val="0"/>
          <c:order val="0"/>
          <c:tx>
            <c:strRef>
              <c:f>'PGC GRAPHS'!$X$90</c:f>
              <c:strCache>
                <c:ptCount val="1"/>
                <c:pt idx="0">
                  <c:v>COSTS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GRAPHS'!$Y$89:$AJ$89</c:f>
              <c:numCache>
                <c:formatCode>mmm\-yy</c:formatCode>
                <c:ptCount val="1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41275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</c:numCache>
            </c:numRef>
          </c:cat>
          <c:val>
            <c:numRef>
              <c:f>'PGC GRAPHS'!$Y$90:$AJ$90</c:f>
              <c:numCache>
                <c:formatCode>"$"#,##0.0</c:formatCode>
                <c:ptCount val="12"/>
                <c:pt idx="0">
                  <c:v>2.3376377397080121</c:v>
                </c:pt>
                <c:pt idx="1">
                  <c:v>4.7435787995445766</c:v>
                </c:pt>
                <c:pt idx="2">
                  <c:v>7.3402648921247575</c:v>
                </c:pt>
                <c:pt idx="3">
                  <c:v>11.471256192074199</c:v>
                </c:pt>
                <c:pt idx="4">
                  <c:v>17.455200590903655</c:v>
                </c:pt>
                <c:pt idx="5">
                  <c:v>26.019792964783498</c:v>
                </c:pt>
                <c:pt idx="6">
                  <c:v>35.440960731549417</c:v>
                </c:pt>
                <c:pt idx="7">
                  <c:v>43.476027353006366</c:v>
                </c:pt>
                <c:pt idx="8">
                  <c:v>50.428885367709505</c:v>
                </c:pt>
                <c:pt idx="9">
                  <c:v>54.907896293158458</c:v>
                </c:pt>
                <c:pt idx="10">
                  <c:v>57.883351568454401</c:v>
                </c:pt>
                <c:pt idx="11">
                  <c:v>60.283714564475993</c:v>
                </c:pt>
              </c:numCache>
            </c:numRef>
          </c:val>
        </c:ser>
        <c:ser>
          <c:idx val="1"/>
          <c:order val="1"/>
          <c:tx>
            <c:strRef>
              <c:f>'PGC GRAPHS'!$X$91</c:f>
              <c:strCache>
                <c:ptCount val="1"/>
                <c:pt idx="0">
                  <c:v>REVENUE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GRAPHS'!$Y$89:$AJ$89</c:f>
              <c:numCache>
                <c:formatCode>mmm\-yy</c:formatCode>
                <c:ptCount val="1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41275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</c:numCache>
            </c:numRef>
          </c:cat>
          <c:val>
            <c:numRef>
              <c:f>'PGC GRAPHS'!$Y$91:$AJ$91</c:f>
              <c:numCache>
                <c:formatCode>"$"#,##0.0</c:formatCode>
                <c:ptCount val="12"/>
                <c:pt idx="0">
                  <c:v>1.2767734399999999</c:v>
                </c:pt>
                <c:pt idx="1">
                  <c:v>2.5535468799999999</c:v>
                </c:pt>
                <c:pt idx="2">
                  <c:v>4.0422144399999995</c:v>
                </c:pt>
                <c:pt idx="3">
                  <c:v>7.3046953200000004</c:v>
                </c:pt>
                <c:pt idx="4">
                  <c:v>12.84264864</c:v>
                </c:pt>
                <c:pt idx="5">
                  <c:v>21.371147780000001</c:v>
                </c:pt>
                <c:pt idx="6">
                  <c:v>30.78542818</c:v>
                </c:pt>
                <c:pt idx="7">
                  <c:v>38.508998399999996</c:v>
                </c:pt>
                <c:pt idx="8">
                  <c:v>44.798709739999993</c:v>
                </c:pt>
                <c:pt idx="9">
                  <c:v>48.370423339999995</c:v>
                </c:pt>
                <c:pt idx="10">
                  <c:v>50.367502419999994</c:v>
                </c:pt>
                <c:pt idx="11">
                  <c:v>51.651758919999992</c:v>
                </c:pt>
              </c:numCache>
            </c:numRef>
          </c:val>
        </c:ser>
        <c:marker val="1"/>
        <c:axId val="107506688"/>
        <c:axId val="107525248"/>
      </c:lineChart>
      <c:dateAx>
        <c:axId val="107506688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3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525248"/>
        <c:crosses val="autoZero"/>
        <c:auto val="1"/>
        <c:lblOffset val="100"/>
        <c:baseTimeUnit val="months"/>
        <c:majorUnit val="2"/>
        <c:majorTimeUnit val="months"/>
        <c:minorUnit val="1"/>
        <c:minorTimeUnit val="months"/>
      </c:dateAx>
      <c:valAx>
        <c:axId val="10752524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5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289284862119508E-2"/>
              <c:y val="0.35147481858887791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3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50668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4319093636022772"/>
          <c:y val="0.91383418249189463"/>
          <c:w val="0.20064466373521489"/>
          <c:h val="7.029501312335961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43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6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Monthly and Cumulative Cost Recovery</a:t>
            </a:r>
          </a:p>
        </c:rich>
      </c:tx>
      <c:layout>
        <c:manualLayout>
          <c:xMode val="edge"/>
          <c:yMode val="edge"/>
          <c:x val="0.28163701013883324"/>
          <c:y val="2.852046271993778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3729936760268381E-2"/>
          <c:y val="0.15686301815783968"/>
          <c:w val="0.89058205463185058"/>
          <c:h val="0.73975173335793665"/>
        </c:manualLayout>
      </c:layout>
      <c:lineChart>
        <c:grouping val="standard"/>
        <c:ser>
          <c:idx val="0"/>
          <c:order val="0"/>
          <c:tx>
            <c:strRef>
              <c:f>'PGC GRAPHS'!$X$112</c:f>
              <c:strCache>
                <c:ptCount val="1"/>
                <c:pt idx="0">
                  <c:v>MONTH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'PGC GRAPHS'!$Y$111:$AJ$111</c:f>
              <c:numCache>
                <c:formatCode>mmm\-yy</c:formatCode>
                <c:ptCount val="1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41275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</c:numCache>
            </c:numRef>
          </c:cat>
          <c:val>
            <c:numRef>
              <c:f>'PGC GRAPHS'!$Y$112:$AJ$112</c:f>
              <c:numCache>
                <c:formatCode>"$"#,##0.0</c:formatCode>
                <c:ptCount val="12"/>
                <c:pt idx="0">
                  <c:v>-1.2608642997080119</c:v>
                </c:pt>
                <c:pt idx="1">
                  <c:v>-1.3491676198365647</c:v>
                </c:pt>
                <c:pt idx="2">
                  <c:v>-1.20801853258018</c:v>
                </c:pt>
                <c:pt idx="3">
                  <c:v>-0.92851041994944072</c:v>
                </c:pt>
                <c:pt idx="4">
                  <c:v>-0.47599107882945796</c:v>
                </c:pt>
                <c:pt idx="5">
                  <c:v>-3.6093233879840002E-2</c:v>
                </c:pt>
                <c:pt idx="6">
                  <c:v>-6.8873667659219351E-3</c:v>
                </c:pt>
                <c:pt idx="7">
                  <c:v>-0.31149640145694374</c:v>
                </c:pt>
                <c:pt idx="8">
                  <c:v>-0.70314667470314351</c:v>
                </c:pt>
                <c:pt idx="9">
                  <c:v>-1.0622973254489567</c:v>
                </c:pt>
                <c:pt idx="10">
                  <c:v>-1.1633761952959401</c:v>
                </c:pt>
                <c:pt idx="11">
                  <c:v>-1.3061064960215878</c:v>
                </c:pt>
              </c:numCache>
            </c:numRef>
          </c:val>
        </c:ser>
        <c:ser>
          <c:idx val="1"/>
          <c:order val="1"/>
          <c:tx>
            <c:strRef>
              <c:f>'PGC GRAPHS'!$X$113</c:f>
              <c:strCache>
                <c:ptCount val="1"/>
                <c:pt idx="0">
                  <c:v>CUMULATIVE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GRAPHS'!$Y$111:$AJ$111</c:f>
              <c:numCache>
                <c:formatCode>mmm\-yy</c:formatCode>
                <c:ptCount val="1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41275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</c:numCache>
            </c:numRef>
          </c:cat>
          <c:val>
            <c:numRef>
              <c:f>'PGC GRAPHS'!$Y$113:$AJ$113</c:f>
              <c:numCache>
                <c:formatCode>"$"#,##0.0</c:formatCode>
                <c:ptCount val="12"/>
                <c:pt idx="0">
                  <c:v>6.400728511331387</c:v>
                </c:pt>
                <c:pt idx="1">
                  <c:v>5.0515608914948213</c:v>
                </c:pt>
                <c:pt idx="2">
                  <c:v>3.8435423589146418</c:v>
                </c:pt>
                <c:pt idx="3">
                  <c:v>2.9150319389652011</c:v>
                </c:pt>
                <c:pt idx="4">
                  <c:v>2.4390408601357429</c:v>
                </c:pt>
                <c:pt idx="5">
                  <c:v>2.4029476262559029</c:v>
                </c:pt>
                <c:pt idx="6">
                  <c:v>2.3960602594899809</c:v>
                </c:pt>
                <c:pt idx="7">
                  <c:v>2.0845638580330372</c:v>
                </c:pt>
                <c:pt idx="8">
                  <c:v>1.3814171833298938</c:v>
                </c:pt>
                <c:pt idx="9">
                  <c:v>0.31911985788093694</c:v>
                </c:pt>
                <c:pt idx="10">
                  <c:v>-0.84425633741500317</c:v>
                </c:pt>
                <c:pt idx="11">
                  <c:v>-2.1503628334365912</c:v>
                </c:pt>
              </c:numCache>
            </c:numRef>
          </c:val>
        </c:ser>
        <c:marker val="1"/>
        <c:axId val="107496960"/>
        <c:axId val="107498880"/>
      </c:lineChart>
      <c:dateAx>
        <c:axId val="107496960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498880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749888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5223600405653993E-2"/>
              <c:y val="0.46880645474871196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496960"/>
        <c:crosses val="autoZero"/>
        <c:crossBetween val="between"/>
        <c:majorUnit val="5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1389229030937336"/>
          <c:y val="0.9393955477787499"/>
          <c:w val="0.23025735876975106"/>
          <c:h val="4.812851171381360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47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0405 Monthly Gas Costs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stacked"/>
        <c:ser>
          <c:idx val="1"/>
          <c:order val="0"/>
          <c:tx>
            <c:v>Pipeline Demand</c:v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0"/>
          <c:order val="1"/>
          <c:tx>
            <c:v>Gas</c:v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overlap val="100"/>
        <c:axId val="107602304"/>
        <c:axId val="107603840"/>
      </c:barChart>
      <c:catAx>
        <c:axId val="1076023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603840"/>
        <c:crosses val="autoZero"/>
        <c:auto val="1"/>
        <c:lblAlgn val="ctr"/>
        <c:lblOffset val="100"/>
        <c:tickLblSkip val="1"/>
        <c:tickMarkSkip val="1"/>
      </c:catAx>
      <c:valAx>
        <c:axId val="10760384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602304"/>
        <c:crosses val="autoZero"/>
        <c:crossBetween val="between"/>
        <c:majorUnit val="10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8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Unit Cost vs Rate</a:t>
            </a:r>
          </a:p>
        </c:rich>
      </c:tx>
      <c:layout>
        <c:manualLayout>
          <c:xMode val="edge"/>
          <c:yMode val="edge"/>
          <c:x val="0.38793832775833181"/>
          <c:y val="2.814262252306180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1491451688770001"/>
          <c:y val="0.20262664165103189"/>
          <c:w val="0.86063638179719959"/>
          <c:h val="0.54596622889305757"/>
        </c:manualLayout>
      </c:layout>
      <c:lineChart>
        <c:grouping val="standard"/>
        <c:ser>
          <c:idx val="0"/>
          <c:order val="0"/>
          <c:tx>
            <c:strRef>
              <c:f>'PGC GRAPHS'!$AN$6</c:f>
              <c:strCache>
                <c:ptCount val="1"/>
                <c:pt idx="0">
                  <c:v>RS UNIT COST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GRAPHS'!$AO$3:$AZ$3</c:f>
              <c:numCache>
                <c:formatCode>mmm\-yy</c:formatCode>
                <c:ptCount val="12"/>
                <c:pt idx="0">
                  <c:v>41456</c:v>
                </c:pt>
                <c:pt idx="1">
                  <c:v>41487</c:v>
                </c:pt>
                <c:pt idx="2">
                  <c:v>41518</c:v>
                </c:pt>
                <c:pt idx="3">
                  <c:v>41548</c:v>
                </c:pt>
                <c:pt idx="4">
                  <c:v>41579</c:v>
                </c:pt>
                <c:pt idx="5">
                  <c:v>41609</c:v>
                </c:pt>
                <c:pt idx="6">
                  <c:v>41640</c:v>
                </c:pt>
                <c:pt idx="7">
                  <c:v>41671</c:v>
                </c:pt>
                <c:pt idx="8">
                  <c:v>41699</c:v>
                </c:pt>
                <c:pt idx="9">
                  <c:v>41730</c:v>
                </c:pt>
                <c:pt idx="10">
                  <c:v>41760</c:v>
                </c:pt>
                <c:pt idx="11">
                  <c:v>41791</c:v>
                </c:pt>
              </c:numCache>
            </c:numRef>
          </c:cat>
          <c:val>
            <c:numRef>
              <c:f>'PGC GRAPHS'!$AO$6:$AZ$6</c:f>
              <c:numCache>
                <c:formatCode>"$"#,##0.00</c:formatCode>
                <c:ptCount val="12"/>
                <c:pt idx="0">
                  <c:v>10.625119270750009</c:v>
                </c:pt>
                <c:pt idx="1">
                  <c:v>10.649980090984011</c:v>
                </c:pt>
                <c:pt idx="2">
                  <c:v>9.6067797751109083</c:v>
                </c:pt>
                <c:pt idx="3">
                  <c:v>6.7962697670194618</c:v>
                </c:pt>
                <c:pt idx="4">
                  <c:v>5.8850012540090848</c:v>
                </c:pt>
                <c:pt idx="5">
                  <c:v>5.3177936218811981</c:v>
                </c:pt>
                <c:pt idx="6">
                  <c:v>5.2830775568881556</c:v>
                </c:pt>
                <c:pt idx="7">
                  <c:v>5.4695397794422576</c:v>
                </c:pt>
                <c:pt idx="8">
                  <c:v>5.8182004243684391</c:v>
                </c:pt>
                <c:pt idx="9">
                  <c:v>6.5598886787182522</c:v>
                </c:pt>
                <c:pt idx="10">
                  <c:v>8.401326861936143</c:v>
                </c:pt>
                <c:pt idx="11">
                  <c:v>10.889559686868429</c:v>
                </c:pt>
              </c:numCache>
            </c:numRef>
          </c:val>
        </c:ser>
        <c:ser>
          <c:idx val="1"/>
          <c:order val="1"/>
          <c:tx>
            <c:strRef>
              <c:f>'PGC GRAPHS'!$AN$8</c:f>
              <c:strCache>
                <c:ptCount val="1"/>
                <c:pt idx="0">
                  <c:v>RS RATE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GRAPHS'!$AO$3:$AZ$3</c:f>
              <c:numCache>
                <c:formatCode>mmm\-yy</c:formatCode>
                <c:ptCount val="12"/>
                <c:pt idx="0">
                  <c:v>41456</c:v>
                </c:pt>
                <c:pt idx="1">
                  <c:v>41487</c:v>
                </c:pt>
                <c:pt idx="2">
                  <c:v>41518</c:v>
                </c:pt>
                <c:pt idx="3">
                  <c:v>41548</c:v>
                </c:pt>
                <c:pt idx="4">
                  <c:v>41579</c:v>
                </c:pt>
                <c:pt idx="5">
                  <c:v>41609</c:v>
                </c:pt>
                <c:pt idx="6">
                  <c:v>41640</c:v>
                </c:pt>
                <c:pt idx="7">
                  <c:v>41671</c:v>
                </c:pt>
                <c:pt idx="8">
                  <c:v>41699</c:v>
                </c:pt>
                <c:pt idx="9">
                  <c:v>41730</c:v>
                </c:pt>
                <c:pt idx="10">
                  <c:v>41760</c:v>
                </c:pt>
                <c:pt idx="11">
                  <c:v>41791</c:v>
                </c:pt>
              </c:numCache>
            </c:numRef>
          </c:cat>
          <c:val>
            <c:numRef>
              <c:f>'PGC GRAPHS'!$AO$8:$AZ$8</c:f>
              <c:numCache>
                <c:formatCode>"$"#,##0.00</c:formatCode>
                <c:ptCount val="1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ser>
          <c:idx val="2"/>
          <c:order val="2"/>
          <c:tx>
            <c:strRef>
              <c:f>'PGC GRAPHS'!$AN$9</c:f>
              <c:strCache>
                <c:ptCount val="1"/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GRAPHS'!$AO$3:$AZ$3</c:f>
              <c:numCache>
                <c:formatCode>mmm\-yy</c:formatCode>
                <c:ptCount val="12"/>
                <c:pt idx="0">
                  <c:v>41456</c:v>
                </c:pt>
                <c:pt idx="1">
                  <c:v>41487</c:v>
                </c:pt>
                <c:pt idx="2">
                  <c:v>41518</c:v>
                </c:pt>
                <c:pt idx="3">
                  <c:v>41548</c:v>
                </c:pt>
                <c:pt idx="4">
                  <c:v>41579</c:v>
                </c:pt>
                <c:pt idx="5">
                  <c:v>41609</c:v>
                </c:pt>
                <c:pt idx="6">
                  <c:v>41640</c:v>
                </c:pt>
                <c:pt idx="7">
                  <c:v>41671</c:v>
                </c:pt>
                <c:pt idx="8">
                  <c:v>41699</c:v>
                </c:pt>
                <c:pt idx="9">
                  <c:v>41730</c:v>
                </c:pt>
                <c:pt idx="10">
                  <c:v>41760</c:v>
                </c:pt>
                <c:pt idx="11">
                  <c:v>41791</c:v>
                </c:pt>
              </c:numCache>
            </c:numRef>
          </c:cat>
          <c:val>
            <c:numRef>
              <c:f>'PGC GRAPHS'!$AO$9:$AZ$9</c:f>
              <c:numCache>
                <c:formatCode>"$"#,##0.00</c:formatCode>
                <c:ptCount val="12"/>
              </c:numCache>
            </c:numRef>
          </c:val>
        </c:ser>
        <c:ser>
          <c:idx val="3"/>
          <c:order val="3"/>
          <c:tx>
            <c:strRef>
              <c:f>'PGC GRAPHS'!$AN$10</c:f>
              <c:strCache>
                <c:ptCount val="1"/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GRAPHS'!$AO$3:$AZ$3</c:f>
              <c:numCache>
                <c:formatCode>mmm\-yy</c:formatCode>
                <c:ptCount val="12"/>
                <c:pt idx="0">
                  <c:v>41456</c:v>
                </c:pt>
                <c:pt idx="1">
                  <c:v>41487</c:v>
                </c:pt>
                <c:pt idx="2">
                  <c:v>41518</c:v>
                </c:pt>
                <c:pt idx="3">
                  <c:v>41548</c:v>
                </c:pt>
                <c:pt idx="4">
                  <c:v>41579</c:v>
                </c:pt>
                <c:pt idx="5">
                  <c:v>41609</c:v>
                </c:pt>
                <c:pt idx="6">
                  <c:v>41640</c:v>
                </c:pt>
                <c:pt idx="7">
                  <c:v>41671</c:v>
                </c:pt>
                <c:pt idx="8">
                  <c:v>41699</c:v>
                </c:pt>
                <c:pt idx="9">
                  <c:v>41730</c:v>
                </c:pt>
                <c:pt idx="10">
                  <c:v>41760</c:v>
                </c:pt>
                <c:pt idx="11">
                  <c:v>41791</c:v>
                </c:pt>
              </c:numCache>
            </c:numRef>
          </c:cat>
          <c:val>
            <c:numRef>
              <c:f>'PGC GRAPHS'!$AO$10:$AZ$10</c:f>
              <c:numCache>
                <c:formatCode>"$"#,##0.00</c:formatCode>
                <c:ptCount val="12"/>
              </c:numCache>
            </c:numRef>
          </c:val>
        </c:ser>
        <c:marker val="1"/>
        <c:axId val="107593728"/>
        <c:axId val="107595648"/>
      </c:lineChart>
      <c:dateAx>
        <c:axId val="107593728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5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595648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759564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5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$/Mcf</a:t>
                </a:r>
              </a:p>
            </c:rich>
          </c:tx>
          <c:layout>
            <c:manualLayout>
              <c:xMode val="edge"/>
              <c:yMode val="edge"/>
              <c:x val="1.303993944060197E-2"/>
              <c:y val="0.42026267184440969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59372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8386342216672381"/>
          <c:y val="0.9287055199971348"/>
          <c:w val="0.32273863055532176"/>
          <c:h val="5.816129708932592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5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8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Monthly Cost &amp; Revenue</a:t>
            </a:r>
          </a:p>
        </c:rich>
      </c:tx>
      <c:layout>
        <c:manualLayout>
          <c:xMode val="edge"/>
          <c:yMode val="edge"/>
          <c:x val="0.35217059501228642"/>
          <c:y val="2.814262252306180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1547920784001962"/>
          <c:y val="0.20262664165103189"/>
          <c:w val="0.85995154774482663"/>
          <c:h val="0.54596622889305757"/>
        </c:manualLayout>
      </c:layout>
      <c:lineChart>
        <c:grouping val="standard"/>
        <c:ser>
          <c:idx val="0"/>
          <c:order val="0"/>
          <c:tx>
            <c:strRef>
              <c:f>'PGC GRAPHS'!$AN$59</c:f>
              <c:strCache>
                <c:ptCount val="1"/>
                <c:pt idx="0">
                  <c:v>COSTS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GRAPHS'!$AO$58:$AZ$58</c:f>
              <c:numCache>
                <c:formatCode>mmm\-yy</c:formatCode>
                <c:ptCount val="12"/>
                <c:pt idx="0">
                  <c:v>41456</c:v>
                </c:pt>
                <c:pt idx="1">
                  <c:v>41487</c:v>
                </c:pt>
                <c:pt idx="2">
                  <c:v>41518</c:v>
                </c:pt>
                <c:pt idx="3">
                  <c:v>41548</c:v>
                </c:pt>
                <c:pt idx="4">
                  <c:v>41579</c:v>
                </c:pt>
                <c:pt idx="5">
                  <c:v>41609</c:v>
                </c:pt>
                <c:pt idx="6">
                  <c:v>41640</c:v>
                </c:pt>
                <c:pt idx="7">
                  <c:v>41671</c:v>
                </c:pt>
                <c:pt idx="8">
                  <c:v>41699</c:v>
                </c:pt>
                <c:pt idx="9">
                  <c:v>41730</c:v>
                </c:pt>
                <c:pt idx="10">
                  <c:v>41760</c:v>
                </c:pt>
                <c:pt idx="11">
                  <c:v>41791</c:v>
                </c:pt>
              </c:numCache>
            </c:numRef>
          </c:cat>
          <c:val>
            <c:numRef>
              <c:f>'PGC GRAPHS'!$AO$59:$AZ$59</c:f>
              <c:numCache>
                <c:formatCode>"$"#,##0.0</c:formatCode>
                <c:ptCount val="12"/>
                <c:pt idx="0">
                  <c:v>2.4904464788649903</c:v>
                </c:pt>
                <c:pt idx="1">
                  <c:v>2.4972269692539708</c:v>
                </c:pt>
                <c:pt idx="2">
                  <c:v>2.6812944514254293</c:v>
                </c:pt>
                <c:pt idx="3">
                  <c:v>4.3849604312874328</c:v>
                </c:pt>
                <c:pt idx="4">
                  <c:v>6.5737209246078994</c:v>
                </c:pt>
                <c:pt idx="5">
                  <c:v>9.2351901039252713</c:v>
                </c:pt>
                <c:pt idx="6">
                  <c:v>10.14707169937785</c:v>
                </c:pt>
                <c:pt idx="7">
                  <c:v>8.588086769135403</c:v>
                </c:pt>
                <c:pt idx="8">
                  <c:v>7.4099454840494596</c:v>
                </c:pt>
                <c:pt idx="9">
                  <c:v>4.677662677811913</c:v>
                </c:pt>
                <c:pt idx="10">
                  <c:v>3.2399064077502637</c:v>
                </c:pt>
                <c:pt idx="11">
                  <c:v>2.5877746720654549</c:v>
                </c:pt>
              </c:numCache>
            </c:numRef>
          </c:val>
        </c:ser>
        <c:ser>
          <c:idx val="1"/>
          <c:order val="1"/>
          <c:tx>
            <c:strRef>
              <c:f>'PGC GRAPHS'!$AN$61</c:f>
              <c:strCache>
                <c:ptCount val="1"/>
                <c:pt idx="0">
                  <c:v>REVENUE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GRAPHS'!$AO$58:$AZ$58</c:f>
              <c:numCache>
                <c:formatCode>mmm\-yy</c:formatCode>
                <c:ptCount val="12"/>
                <c:pt idx="0">
                  <c:v>41456</c:v>
                </c:pt>
                <c:pt idx="1">
                  <c:v>41487</c:v>
                </c:pt>
                <c:pt idx="2">
                  <c:v>41518</c:v>
                </c:pt>
                <c:pt idx="3">
                  <c:v>41548</c:v>
                </c:pt>
                <c:pt idx="4">
                  <c:v>41579</c:v>
                </c:pt>
                <c:pt idx="5">
                  <c:v>41609</c:v>
                </c:pt>
                <c:pt idx="6">
                  <c:v>41640</c:v>
                </c:pt>
                <c:pt idx="7">
                  <c:v>41671</c:v>
                </c:pt>
                <c:pt idx="8">
                  <c:v>41699</c:v>
                </c:pt>
                <c:pt idx="9">
                  <c:v>41730</c:v>
                </c:pt>
                <c:pt idx="10">
                  <c:v>41760</c:v>
                </c:pt>
                <c:pt idx="11">
                  <c:v>41791</c:v>
                </c:pt>
              </c:numCache>
            </c:numRef>
          </c:cat>
          <c:val>
            <c:numRef>
              <c:f>'PGC GRAPHS'!$AO$61:$AZ$61</c:f>
              <c:numCache>
                <c:formatCode>"$"#,##0.0</c:formatCode>
                <c:ptCount val="12"/>
                <c:pt idx="0">
                  <c:v>1.2959934399999999</c:v>
                </c:pt>
                <c:pt idx="1">
                  <c:v>1.2959934399999999</c:v>
                </c:pt>
                <c:pt idx="2">
                  <c:v>1.5109140599999999</c:v>
                </c:pt>
                <c:pt idx="3">
                  <c:v>3.31031188</c:v>
                </c:pt>
                <c:pt idx="4">
                  <c:v>5.6185438200000002</c:v>
                </c:pt>
                <c:pt idx="5">
                  <c:v>8.6522053900000007</c:v>
                </c:pt>
                <c:pt idx="6">
                  <c:v>9.5507494000000026</c:v>
                </c:pt>
                <c:pt idx="7">
                  <c:v>7.8355989699999995</c:v>
                </c:pt>
                <c:pt idx="8">
                  <c:v>6.3811600899999998</c:v>
                </c:pt>
                <c:pt idx="9">
                  <c:v>3.6239736000000002</c:v>
                </c:pt>
                <c:pt idx="10">
                  <c:v>2.0266775799999999</c:v>
                </c:pt>
                <c:pt idx="11">
                  <c:v>1.30355775</c:v>
                </c:pt>
              </c:numCache>
            </c:numRef>
          </c:val>
        </c:ser>
        <c:marker val="1"/>
        <c:axId val="107632896"/>
        <c:axId val="107741568"/>
      </c:lineChart>
      <c:dateAx>
        <c:axId val="107632896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5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741568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774156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5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3104042687733341E-2"/>
              <c:y val="0.40150092349569105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63289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4307978829379002"/>
          <c:y val="0.9287055199971348"/>
          <c:w val="0.20393137738970746"/>
          <c:h val="5.816129708932592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5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6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YTD Cost &amp; Revenue</a:t>
            </a:r>
          </a:p>
        </c:rich>
      </c:tx>
      <c:layout>
        <c:manualLayout>
          <c:xMode val="edge"/>
          <c:yMode val="edge"/>
          <c:x val="0.41087163621457456"/>
          <c:y val="3.174605527250270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2310161488123944"/>
          <c:y val="0.2267578717533654"/>
          <c:w val="0.84172727577884165"/>
          <c:h val="0.33786922891253535"/>
        </c:manualLayout>
      </c:layout>
      <c:lineChart>
        <c:grouping val="standard"/>
        <c:ser>
          <c:idx val="0"/>
          <c:order val="0"/>
          <c:tx>
            <c:strRef>
              <c:f>'PGC GRAPHS'!$AN$90</c:f>
              <c:strCache>
                <c:ptCount val="1"/>
                <c:pt idx="0">
                  <c:v>COSTS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GRAPHS'!$AO$89:$AZ$89</c:f>
              <c:numCache>
                <c:formatCode>mmm\-yy</c:formatCode>
                <c:ptCount val="12"/>
                <c:pt idx="0">
                  <c:v>41456</c:v>
                </c:pt>
                <c:pt idx="1">
                  <c:v>41487</c:v>
                </c:pt>
                <c:pt idx="2">
                  <c:v>41518</c:v>
                </c:pt>
                <c:pt idx="3">
                  <c:v>41548</c:v>
                </c:pt>
                <c:pt idx="4">
                  <c:v>41579</c:v>
                </c:pt>
                <c:pt idx="5">
                  <c:v>41609</c:v>
                </c:pt>
                <c:pt idx="6">
                  <c:v>41640</c:v>
                </c:pt>
                <c:pt idx="7">
                  <c:v>41671</c:v>
                </c:pt>
                <c:pt idx="8">
                  <c:v>41699</c:v>
                </c:pt>
                <c:pt idx="9">
                  <c:v>41730</c:v>
                </c:pt>
                <c:pt idx="10">
                  <c:v>41760</c:v>
                </c:pt>
                <c:pt idx="11">
                  <c:v>41791</c:v>
                </c:pt>
              </c:numCache>
            </c:numRef>
          </c:cat>
          <c:val>
            <c:numRef>
              <c:f>'PGC GRAPHS'!$AO$90:$AZ$90</c:f>
              <c:numCache>
                <c:formatCode>"$"#,##0.0</c:formatCode>
                <c:ptCount val="12"/>
                <c:pt idx="0">
                  <c:v>2.4904464788649903</c:v>
                </c:pt>
                <c:pt idx="1">
                  <c:v>4.9876734481189606</c:v>
                </c:pt>
                <c:pt idx="2">
                  <c:v>7.6689678995443895</c:v>
                </c:pt>
                <c:pt idx="3">
                  <c:v>12.053928330831821</c:v>
                </c:pt>
                <c:pt idx="4">
                  <c:v>18.627649255439721</c:v>
                </c:pt>
                <c:pt idx="5">
                  <c:v>27.862839359364994</c:v>
                </c:pt>
                <c:pt idx="6">
                  <c:v>38.009911058742844</c:v>
                </c:pt>
                <c:pt idx="7">
                  <c:v>46.597997827878245</c:v>
                </c:pt>
                <c:pt idx="8">
                  <c:v>54.007943311927704</c:v>
                </c:pt>
                <c:pt idx="9">
                  <c:v>58.685605989739621</c:v>
                </c:pt>
                <c:pt idx="10">
                  <c:v>61.925512397489882</c:v>
                </c:pt>
                <c:pt idx="11">
                  <c:v>64.513287069555332</c:v>
                </c:pt>
              </c:numCache>
            </c:numRef>
          </c:val>
        </c:ser>
        <c:ser>
          <c:idx val="1"/>
          <c:order val="1"/>
          <c:tx>
            <c:strRef>
              <c:f>'PGC GRAPHS'!$AN$91</c:f>
              <c:strCache>
                <c:ptCount val="1"/>
                <c:pt idx="0">
                  <c:v>REVENUE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GRAPHS'!$AO$89:$AZ$89</c:f>
              <c:numCache>
                <c:formatCode>mmm\-yy</c:formatCode>
                <c:ptCount val="12"/>
                <c:pt idx="0">
                  <c:v>41456</c:v>
                </c:pt>
                <c:pt idx="1">
                  <c:v>41487</c:v>
                </c:pt>
                <c:pt idx="2">
                  <c:v>41518</c:v>
                </c:pt>
                <c:pt idx="3">
                  <c:v>41548</c:v>
                </c:pt>
                <c:pt idx="4">
                  <c:v>41579</c:v>
                </c:pt>
                <c:pt idx="5">
                  <c:v>41609</c:v>
                </c:pt>
                <c:pt idx="6">
                  <c:v>41640</c:v>
                </c:pt>
                <c:pt idx="7">
                  <c:v>41671</c:v>
                </c:pt>
                <c:pt idx="8">
                  <c:v>41699</c:v>
                </c:pt>
                <c:pt idx="9">
                  <c:v>41730</c:v>
                </c:pt>
                <c:pt idx="10">
                  <c:v>41760</c:v>
                </c:pt>
                <c:pt idx="11">
                  <c:v>41791</c:v>
                </c:pt>
              </c:numCache>
            </c:numRef>
          </c:cat>
          <c:val>
            <c:numRef>
              <c:f>'PGC GRAPHS'!$AO$91:$AZ$91</c:f>
              <c:numCache>
                <c:formatCode>"$"#,##0.0</c:formatCode>
                <c:ptCount val="12"/>
                <c:pt idx="0">
                  <c:v>1.2959934399999999</c:v>
                </c:pt>
                <c:pt idx="1">
                  <c:v>2.5919868799999999</c:v>
                </c:pt>
                <c:pt idx="2">
                  <c:v>4.1029009399999996</c:v>
                </c:pt>
                <c:pt idx="3">
                  <c:v>7.41321282</c:v>
                </c:pt>
                <c:pt idx="4">
                  <c:v>13.031756640000001</c:v>
                </c:pt>
                <c:pt idx="5">
                  <c:v>21.68396203</c:v>
                </c:pt>
                <c:pt idx="6">
                  <c:v>31.234711430000004</c:v>
                </c:pt>
                <c:pt idx="7">
                  <c:v>39.070310400000004</c:v>
                </c:pt>
                <c:pt idx="8">
                  <c:v>45.451470490000013</c:v>
                </c:pt>
                <c:pt idx="9">
                  <c:v>49.075444090000012</c:v>
                </c:pt>
                <c:pt idx="10">
                  <c:v>51.10212167000001</c:v>
                </c:pt>
                <c:pt idx="11">
                  <c:v>52.405679420000013</c:v>
                </c:pt>
              </c:numCache>
            </c:numRef>
          </c:val>
        </c:ser>
        <c:marker val="1"/>
        <c:axId val="107774720"/>
        <c:axId val="107776640"/>
      </c:lineChart>
      <c:dateAx>
        <c:axId val="107774720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26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776640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777664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2789802240903501E-2"/>
              <c:y val="0.32199623282383832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6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77472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5723458480733375"/>
          <c:y val="0.92063683804230345"/>
          <c:w val="0.17346139703551591"/>
          <c:h val="6.349211054500543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6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3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Monthly and Cumulative Cost Recovery</a:t>
            </a:r>
          </a:p>
        </c:rich>
      </c:tx>
      <c:layout>
        <c:manualLayout>
          <c:xMode val="edge"/>
          <c:yMode val="edge"/>
          <c:x val="0.31385482797559677"/>
          <c:y val="2.852046271993778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1630537229029234E-2"/>
          <c:y val="0.14082020948259524"/>
          <c:w val="0.9048067860508956"/>
          <c:h val="0.76470721351948534"/>
        </c:manualLayout>
      </c:layout>
      <c:lineChart>
        <c:grouping val="standard"/>
        <c:ser>
          <c:idx val="0"/>
          <c:order val="0"/>
          <c:tx>
            <c:strRef>
              <c:f>'PGC GRAPHS'!$AN$112</c:f>
              <c:strCache>
                <c:ptCount val="1"/>
                <c:pt idx="0">
                  <c:v>MONTH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'PGC GRAPHS'!$AO$111:$AZ$111</c:f>
              <c:numCache>
                <c:formatCode>mmm\-yy</c:formatCode>
                <c:ptCount val="12"/>
                <c:pt idx="0">
                  <c:v>41456</c:v>
                </c:pt>
                <c:pt idx="1">
                  <c:v>41487</c:v>
                </c:pt>
                <c:pt idx="2">
                  <c:v>41518</c:v>
                </c:pt>
                <c:pt idx="3">
                  <c:v>41548</c:v>
                </c:pt>
                <c:pt idx="4">
                  <c:v>41579</c:v>
                </c:pt>
                <c:pt idx="5">
                  <c:v>41609</c:v>
                </c:pt>
                <c:pt idx="6">
                  <c:v>41640</c:v>
                </c:pt>
                <c:pt idx="7">
                  <c:v>41671</c:v>
                </c:pt>
                <c:pt idx="8">
                  <c:v>41699</c:v>
                </c:pt>
                <c:pt idx="9">
                  <c:v>41730</c:v>
                </c:pt>
                <c:pt idx="10">
                  <c:v>41760</c:v>
                </c:pt>
                <c:pt idx="11">
                  <c:v>41791</c:v>
                </c:pt>
              </c:numCache>
            </c:numRef>
          </c:cat>
          <c:val>
            <c:numRef>
              <c:f>'PGC GRAPHS'!$AO$112:$AZ$112</c:f>
              <c:numCache>
                <c:formatCode>"$"#,##0.0</c:formatCode>
                <c:ptCount val="12"/>
                <c:pt idx="0">
                  <c:v>-1.3944530388649903</c:v>
                </c:pt>
                <c:pt idx="1">
                  <c:v>-1.4212335292539708</c:v>
                </c:pt>
                <c:pt idx="2">
                  <c:v>-1.2703803914254295</c:v>
                </c:pt>
                <c:pt idx="3">
                  <c:v>-1.1346485512874331</c:v>
                </c:pt>
                <c:pt idx="4">
                  <c:v>-0.98517710460789876</c:v>
                </c:pt>
                <c:pt idx="5">
                  <c:v>-0.5829847139252704</c:v>
                </c:pt>
                <c:pt idx="6">
                  <c:v>-0.59632229937784742</c:v>
                </c:pt>
                <c:pt idx="7">
                  <c:v>-0.75248779913540276</c:v>
                </c:pt>
                <c:pt idx="8">
                  <c:v>-1.06878539404946</c:v>
                </c:pt>
                <c:pt idx="9">
                  <c:v>-1.208689077811913</c:v>
                </c:pt>
                <c:pt idx="10">
                  <c:v>-1.3982288277502639</c:v>
                </c:pt>
                <c:pt idx="11">
                  <c:v>-1.4742169220654551</c:v>
                </c:pt>
              </c:numCache>
            </c:numRef>
          </c:val>
        </c:ser>
        <c:ser>
          <c:idx val="1"/>
          <c:order val="1"/>
          <c:tx>
            <c:strRef>
              <c:f>'PGC GRAPHS'!$AN$113</c:f>
              <c:strCache>
                <c:ptCount val="1"/>
                <c:pt idx="0">
                  <c:v>CUMULATIVE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GRAPHS'!$AO$111:$AZ$111</c:f>
              <c:numCache>
                <c:formatCode>mmm\-yy</c:formatCode>
                <c:ptCount val="12"/>
                <c:pt idx="0">
                  <c:v>41456</c:v>
                </c:pt>
                <c:pt idx="1">
                  <c:v>41487</c:v>
                </c:pt>
                <c:pt idx="2">
                  <c:v>41518</c:v>
                </c:pt>
                <c:pt idx="3">
                  <c:v>41548</c:v>
                </c:pt>
                <c:pt idx="4">
                  <c:v>41579</c:v>
                </c:pt>
                <c:pt idx="5">
                  <c:v>41609</c:v>
                </c:pt>
                <c:pt idx="6">
                  <c:v>41640</c:v>
                </c:pt>
                <c:pt idx="7">
                  <c:v>41671</c:v>
                </c:pt>
                <c:pt idx="8">
                  <c:v>41699</c:v>
                </c:pt>
                <c:pt idx="9">
                  <c:v>41730</c:v>
                </c:pt>
                <c:pt idx="10">
                  <c:v>41760</c:v>
                </c:pt>
                <c:pt idx="11">
                  <c:v>41791</c:v>
                </c:pt>
              </c:numCache>
            </c:numRef>
          </c:cat>
          <c:val>
            <c:numRef>
              <c:f>'PGC GRAPHS'!$AO$113:$AZ$113</c:f>
              <c:numCache>
                <c:formatCode>"$"#,##0.0</c:formatCode>
                <c:ptCount val="12"/>
                <c:pt idx="0">
                  <c:v>-3.5448158723015815</c:v>
                </c:pt>
                <c:pt idx="1">
                  <c:v>-4.9660494015555523</c:v>
                </c:pt>
                <c:pt idx="2">
                  <c:v>-6.2364297929809824</c:v>
                </c:pt>
                <c:pt idx="3">
                  <c:v>-7.3710783442684153</c:v>
                </c:pt>
                <c:pt idx="4">
                  <c:v>-8.356255448876313</c:v>
                </c:pt>
                <c:pt idx="5">
                  <c:v>-8.9392401628015836</c:v>
                </c:pt>
                <c:pt idx="6">
                  <c:v>-9.5355624621794313</c:v>
                </c:pt>
                <c:pt idx="7">
                  <c:v>-10.288050261314835</c:v>
                </c:pt>
                <c:pt idx="8">
                  <c:v>-11.356835655364295</c:v>
                </c:pt>
                <c:pt idx="9">
                  <c:v>-12.565524733176209</c:v>
                </c:pt>
                <c:pt idx="10">
                  <c:v>-13.963753560926472</c:v>
                </c:pt>
                <c:pt idx="11">
                  <c:v>-15.437970482991929</c:v>
                </c:pt>
              </c:numCache>
            </c:numRef>
          </c:val>
        </c:ser>
        <c:marker val="1"/>
        <c:axId val="107805696"/>
        <c:axId val="107885696"/>
      </c:lineChart>
      <c:dateAx>
        <c:axId val="107805696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88569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788569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5080123531568205E-2"/>
              <c:y val="0.47593661903373191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805696"/>
        <c:crosses val="autoZero"/>
        <c:crossBetween val="between"/>
        <c:majorUnit val="5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269557046109978"/>
          <c:y val="0.94474326820260002"/>
          <c:w val="0.19321393942566994"/>
          <c:h val="4.278079128997789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Monthly Commodity &amp; Demand Costs</a:t>
            </a:r>
          </a:p>
        </c:rich>
      </c:tx>
      <c:layout>
        <c:manualLayout>
          <c:xMode val="edge"/>
          <c:yMode val="edge"/>
          <c:x val="0.35732932773649118"/>
          <c:y val="2.901369256553775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2445899362226526E-2"/>
          <c:y val="0.14506824629868192"/>
          <c:w val="0.90546554075221886"/>
          <c:h val="0.71373577178951564"/>
        </c:manualLayout>
      </c:layout>
      <c:barChart>
        <c:barDir val="col"/>
        <c:grouping val="stacked"/>
        <c:ser>
          <c:idx val="0"/>
          <c:order val="0"/>
          <c:tx>
            <c:strRef>
              <c:f>'PGC GRAPHS'!$A$34</c:f>
              <c:strCache>
                <c:ptCount val="1"/>
                <c:pt idx="0">
                  <c:v>DEMAND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GRAPHS'!$B$33:$M$33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GRAPHS'!$B$34:$M$34</c:f>
              <c:numCache>
                <c:formatCode>"$"#,##0.0</c:formatCode>
                <c:ptCount val="12"/>
                <c:pt idx="0">
                  <c:v>1.3877138952719998</c:v>
                </c:pt>
                <c:pt idx="1">
                  <c:v>1.3572810880819999</c:v>
                </c:pt>
                <c:pt idx="2">
                  <c:v>1.3490703956880001</c:v>
                </c:pt>
                <c:pt idx="3">
                  <c:v>1.5006145094880001</c:v>
                </c:pt>
                <c:pt idx="4">
                  <c:v>1.4796795888109999</c:v>
                </c:pt>
                <c:pt idx="5">
                  <c:v>1.4969599226200001</c:v>
                </c:pt>
                <c:pt idx="6">
                  <c:v>1.5140081024890002</c:v>
                </c:pt>
                <c:pt idx="7">
                  <c:v>1.5343128908999999</c:v>
                </c:pt>
                <c:pt idx="8">
                  <c:v>1.5485538478999998</c:v>
                </c:pt>
                <c:pt idx="9">
                  <c:v>1.3631416113999999</c:v>
                </c:pt>
                <c:pt idx="10">
                  <c:v>1.3576746513999998</c:v>
                </c:pt>
                <c:pt idx="11">
                  <c:v>1.3175423813999998</c:v>
                </c:pt>
              </c:numCache>
            </c:numRef>
          </c:val>
        </c:ser>
        <c:ser>
          <c:idx val="1"/>
          <c:order val="1"/>
          <c:tx>
            <c:strRef>
              <c:f>'PGC GRAPHS'!$A$35</c:f>
              <c:strCache>
                <c:ptCount val="1"/>
                <c:pt idx="0">
                  <c:v>COMMODITY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GRAPHS'!$B$33:$M$33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GRAPHS'!$B$35:$M$35</c:f>
              <c:numCache>
                <c:formatCode>"$"#,##0.0</c:formatCode>
                <c:ptCount val="12"/>
                <c:pt idx="0">
                  <c:v>0.91191902033876948</c:v>
                </c:pt>
                <c:pt idx="1">
                  <c:v>1.1006001551010423</c:v>
                </c:pt>
                <c:pt idx="2">
                  <c:v>1.0767307394908263</c:v>
                </c:pt>
                <c:pt idx="3">
                  <c:v>2.4436633219065098</c:v>
                </c:pt>
                <c:pt idx="4">
                  <c:v>3.7345984671436239</c:v>
                </c:pt>
                <c:pt idx="5">
                  <c:v>6.2068998073999762</c:v>
                </c:pt>
                <c:pt idx="6">
                  <c:v>7.764596490696297</c:v>
                </c:pt>
                <c:pt idx="7">
                  <c:v>6.0835214279165415</c:v>
                </c:pt>
                <c:pt idx="8">
                  <c:v>3.100101697750711</c:v>
                </c:pt>
                <c:pt idx="9">
                  <c:v>2.0196379034270202</c:v>
                </c:pt>
                <c:pt idx="10">
                  <c:v>0.64979747189604797</c:v>
                </c:pt>
                <c:pt idx="11">
                  <c:v>0.63877823857390836</c:v>
                </c:pt>
              </c:numCache>
            </c:numRef>
          </c:val>
        </c:ser>
        <c:overlap val="100"/>
        <c:axId val="107792640"/>
        <c:axId val="107929600"/>
      </c:barChart>
      <c:dateAx>
        <c:axId val="107792640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929600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792960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3876832469112933E-2"/>
              <c:y val="0.4506787254002888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79264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3972317484706952"/>
          <c:y val="0.9400421634042736"/>
          <c:w val="0.15091095320402931"/>
          <c:h val="4.6421908104860347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Monthly Requirments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stacked"/>
        <c:ser>
          <c:idx val="0"/>
          <c:order val="0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'PGC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'PGC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overlap val="100"/>
        <c:axId val="74941184"/>
        <c:axId val="74942720"/>
      </c:barChart>
      <c:catAx>
        <c:axId val="749411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942720"/>
        <c:crosses val="autoZero"/>
        <c:auto val="1"/>
        <c:lblAlgn val="ctr"/>
        <c:lblOffset val="100"/>
        <c:tickLblSkip val="1"/>
        <c:tickMarkSkip val="1"/>
      </c:catAx>
      <c:valAx>
        <c:axId val="7494272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494118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3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Monthly Demand Cost &amp; Revenue</a:t>
            </a:r>
          </a:p>
        </c:rich>
      </c:tx>
      <c:layout>
        <c:manualLayout>
          <c:xMode val="edge"/>
          <c:yMode val="edge"/>
          <c:x val="0.34282807051585357"/>
          <c:y val="2.879087325239723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1556459816888744E-2"/>
          <c:y val="0.16506717850287941"/>
          <c:w val="0.88199389623601265"/>
          <c:h val="0.63915547024959063"/>
        </c:manualLayout>
      </c:layout>
      <c:lineChart>
        <c:grouping val="standard"/>
        <c:ser>
          <c:idx val="0"/>
          <c:order val="0"/>
          <c:tx>
            <c:strRef>
              <c:f>'PGC GRAPHS'!$A$63</c:f>
              <c:strCache>
                <c:ptCount val="1"/>
                <c:pt idx="0">
                  <c:v>DEMAND COSTS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GRAPHS'!$B$58:$M$58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GRAPHS'!$B$63:$M$63</c:f>
              <c:numCache>
                <c:formatCode>"$"#,##0.0</c:formatCode>
                <c:ptCount val="12"/>
                <c:pt idx="0">
                  <c:v>1.3877138952719998</c:v>
                </c:pt>
                <c:pt idx="1">
                  <c:v>1.3572810880819999</c:v>
                </c:pt>
                <c:pt idx="2">
                  <c:v>1.3490703956880001</c:v>
                </c:pt>
                <c:pt idx="3">
                  <c:v>1.5006145094880001</c:v>
                </c:pt>
                <c:pt idx="4">
                  <c:v>1.4796795888109999</c:v>
                </c:pt>
                <c:pt idx="5">
                  <c:v>1.4969599226200001</c:v>
                </c:pt>
                <c:pt idx="6">
                  <c:v>1.5140081024890002</c:v>
                </c:pt>
                <c:pt idx="7">
                  <c:v>1.5343128908999999</c:v>
                </c:pt>
                <c:pt idx="8">
                  <c:v>1.5485538478999998</c:v>
                </c:pt>
                <c:pt idx="9">
                  <c:v>1.3631416113999999</c:v>
                </c:pt>
                <c:pt idx="10">
                  <c:v>1.3576746513999998</c:v>
                </c:pt>
                <c:pt idx="11">
                  <c:v>1.3175423813999998</c:v>
                </c:pt>
              </c:numCache>
            </c:numRef>
          </c:val>
        </c:ser>
        <c:ser>
          <c:idx val="1"/>
          <c:order val="1"/>
          <c:tx>
            <c:strRef>
              <c:f>'PGC GRAPHS'!$A$64</c:f>
              <c:strCache>
                <c:ptCount val="1"/>
                <c:pt idx="0">
                  <c:v>DEMAND REVENUE ($1.50/MCF)</c:v>
                </c:pt>
              </c:strCache>
            </c:strRef>
          </c:tx>
          <c:spPr>
            <a:ln w="127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GRAPHS'!$B$58:$M$58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GRAPHS'!$B$64:$M$64</c:f>
              <c:numCache>
                <c:formatCode>"$"#,##0.0</c:formatCode>
                <c:ptCount val="12"/>
                <c:pt idx="0">
                  <c:v>0.3842788867953138</c:v>
                </c:pt>
                <c:pt idx="1">
                  <c:v>0.3842788867953138</c:v>
                </c:pt>
                <c:pt idx="2">
                  <c:v>0.459044160654075</c:v>
                </c:pt>
                <c:pt idx="3">
                  <c:v>1.0681603815708098</c:v>
                </c:pt>
                <c:pt idx="4">
                  <c:v>1.8536260323531257</c:v>
                </c:pt>
                <c:pt idx="5">
                  <c:v>2.8817872868332768</c:v>
                </c:pt>
                <c:pt idx="6">
                  <c:v>3.1868520712674449</c:v>
                </c:pt>
                <c:pt idx="7">
                  <c:v>2.6803333543091297</c:v>
                </c:pt>
                <c:pt idx="8">
                  <c:v>2.1107444250765903</c:v>
                </c:pt>
                <c:pt idx="9">
                  <c:v>1.1764492581146444</c:v>
                </c:pt>
                <c:pt idx="10">
                  <c:v>0.63235354666485644</c:v>
                </c:pt>
                <c:pt idx="11">
                  <c:v>0.38864459501542098</c:v>
                </c:pt>
              </c:numCache>
            </c:numRef>
          </c:val>
        </c:ser>
        <c:marker val="1"/>
        <c:axId val="107813504"/>
        <c:axId val="107815680"/>
      </c:lineChart>
      <c:dateAx>
        <c:axId val="107813504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815680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781568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6276738508302482E-2"/>
              <c:y val="0.42802313057482338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813504"/>
        <c:crosses val="autoZero"/>
        <c:crossBetween val="between"/>
        <c:majorUnit val="1"/>
        <c:minorUnit val="0.25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960328110939202"/>
          <c:y val="0.93857974924449183"/>
          <c:w val="0.40590028402507738"/>
          <c:h val="4.798464932919246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Cumulative Sales Variances - Actual &amp; Normalized</a:t>
            </a:r>
          </a:p>
        </c:rich>
      </c:tx>
      <c:layout>
        <c:manualLayout>
          <c:xMode val="edge"/>
          <c:yMode val="edge"/>
          <c:x val="0.35645067230167554"/>
          <c:y val="2.802118826055833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8299833306995498E-2"/>
          <c:y val="0.13485159961826707"/>
          <c:w val="0.89410952509607244"/>
          <c:h val="0.77233188872280234"/>
        </c:manualLayout>
      </c:layout>
      <c:lineChart>
        <c:grouping val="standard"/>
        <c:ser>
          <c:idx val="0"/>
          <c:order val="0"/>
          <c:tx>
            <c:strRef>
              <c:f>'PGC GRAPHS'!$A$214</c:f>
              <c:strCache>
                <c:ptCount val="1"/>
                <c:pt idx="0">
                  <c:v>PGC MTH ACTUAL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GRAPHS'!$B$213:$M$213</c:f>
              <c:numCache>
                <c:formatCode>mmm\-yy</c:formatCode>
                <c:ptCount val="12"/>
                <c:pt idx="0">
                  <c:v>38899</c:v>
                </c:pt>
                <c:pt idx="1">
                  <c:v>38930</c:v>
                </c:pt>
                <c:pt idx="2">
                  <c:v>38961</c:v>
                </c:pt>
                <c:pt idx="3">
                  <c:v>38991</c:v>
                </c:pt>
                <c:pt idx="4">
                  <c:v>39022</c:v>
                </c:pt>
                <c:pt idx="5">
                  <c:v>39052</c:v>
                </c:pt>
                <c:pt idx="6">
                  <c:v>39083</c:v>
                </c:pt>
                <c:pt idx="7">
                  <c:v>39114</c:v>
                </c:pt>
                <c:pt idx="8">
                  <c:v>39142</c:v>
                </c:pt>
                <c:pt idx="9">
                  <c:v>39173</c:v>
                </c:pt>
                <c:pt idx="10">
                  <c:v>39203</c:v>
                </c:pt>
                <c:pt idx="11">
                  <c:v>39234</c:v>
                </c:pt>
              </c:numCache>
            </c:numRef>
          </c:cat>
          <c:val>
            <c:numRef>
              <c:f>'PGC GRAPHS'!$B$214:$M$214</c:f>
              <c:numCache>
                <c:formatCode>#,##0_);[Red]\(#,##0\)</c:formatCode>
                <c:ptCount val="12"/>
                <c:pt idx="0">
                  <c:v>-28242.700000000012</c:v>
                </c:pt>
                <c:pt idx="1">
                  <c:v>-17538.399999999965</c:v>
                </c:pt>
                <c:pt idx="2">
                  <c:v>-14945.199999999953</c:v>
                </c:pt>
                <c:pt idx="3">
                  <c:v>-126283.79999999981</c:v>
                </c:pt>
                <c:pt idx="4">
                  <c:v>-210706.29999999993</c:v>
                </c:pt>
              </c:numCache>
            </c:numRef>
          </c:val>
        </c:ser>
        <c:ser>
          <c:idx val="1"/>
          <c:order val="1"/>
          <c:tx>
            <c:strRef>
              <c:f>'PGC GRAPHS'!$A$215</c:f>
              <c:strCache>
                <c:ptCount val="1"/>
                <c:pt idx="0">
                  <c:v>PGC MTH NRMLZD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cat>
            <c:numRef>
              <c:f>'PGC GRAPHS'!$B$213:$M$213</c:f>
              <c:numCache>
                <c:formatCode>mmm\-yy</c:formatCode>
                <c:ptCount val="12"/>
                <c:pt idx="0">
                  <c:v>38899</c:v>
                </c:pt>
                <c:pt idx="1">
                  <c:v>38930</c:v>
                </c:pt>
                <c:pt idx="2">
                  <c:v>38961</c:v>
                </c:pt>
                <c:pt idx="3">
                  <c:v>38991</c:v>
                </c:pt>
                <c:pt idx="4">
                  <c:v>39022</c:v>
                </c:pt>
                <c:pt idx="5">
                  <c:v>39052</c:v>
                </c:pt>
                <c:pt idx="6">
                  <c:v>39083</c:v>
                </c:pt>
                <c:pt idx="7">
                  <c:v>39114</c:v>
                </c:pt>
                <c:pt idx="8">
                  <c:v>39142</c:v>
                </c:pt>
                <c:pt idx="9">
                  <c:v>39173</c:v>
                </c:pt>
                <c:pt idx="10">
                  <c:v>39203</c:v>
                </c:pt>
                <c:pt idx="11">
                  <c:v>39234</c:v>
                </c:pt>
              </c:numCache>
            </c:numRef>
          </c:cat>
          <c:val>
            <c:numRef>
              <c:f>'PGC GRAPHS'!$B$215:$M$215</c:f>
              <c:numCache>
                <c:formatCode>#,##0_);[Red]\(#,##0\)</c:formatCode>
                <c:ptCount val="12"/>
                <c:pt idx="0">
                  <c:v>-28242.700000000012</c:v>
                </c:pt>
                <c:pt idx="1">
                  <c:v>-17538.399999999965</c:v>
                </c:pt>
                <c:pt idx="2">
                  <c:v>-14945.199999999953</c:v>
                </c:pt>
                <c:pt idx="3">
                  <c:v>-159890.98666666658</c:v>
                </c:pt>
                <c:pt idx="4">
                  <c:v>-163799.32216666685</c:v>
                </c:pt>
              </c:numCache>
            </c:numRef>
          </c:val>
        </c:ser>
        <c:marker val="1"/>
        <c:axId val="107852928"/>
        <c:axId val="107854848"/>
      </c:lineChart>
      <c:dateAx>
        <c:axId val="107852928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854848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785484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1.1931435856874721E-2"/>
              <c:y val="0.49212083035077764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85292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1163339590047532"/>
          <c:y val="0.94571243140062033"/>
          <c:w val="0.22744234182123585"/>
          <c:h val="4.203159150560733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Unit Costs</a:t>
            </a:r>
          </a:p>
        </c:rich>
      </c:tx>
      <c:layout>
        <c:manualLayout>
          <c:xMode val="edge"/>
          <c:yMode val="edge"/>
          <c:x val="0.44484301624459105"/>
          <c:y val="2.935785698543407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4573991031394523E-2"/>
          <c:y val="0.13944954128441317"/>
          <c:w val="0.90224215246636752"/>
          <c:h val="0.72660550458720063"/>
        </c:manualLayout>
      </c:layout>
      <c:barChart>
        <c:barDir val="col"/>
        <c:grouping val="stacked"/>
        <c:ser>
          <c:idx val="1"/>
          <c:order val="0"/>
          <c:tx>
            <c:strRef>
              <c:f>'PGC GRAPHS'!$A$5</c:f>
              <c:strCache>
                <c:ptCount val="1"/>
                <c:pt idx="0">
                  <c:v>UNIT DEMAND COST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GRAPHS'!$B$3:$M$3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GRAPHS'!$B$5:$M$5</c:f>
              <c:numCache>
                <c:formatCode>"$"#,##0.00</c:formatCode>
                <c:ptCount val="12"/>
                <c:pt idx="0">
                  <c:v>7.6314099201946286</c:v>
                </c:pt>
                <c:pt idx="1">
                  <c:v>6.4034200867325666</c:v>
                </c:pt>
                <c:pt idx="2">
                  <c:v>5.6918766757799455</c:v>
                </c:pt>
                <c:pt idx="3">
                  <c:v>3.3324417361040783</c:v>
                </c:pt>
                <c:pt idx="4">
                  <c:v>1.6648397343904353</c:v>
                </c:pt>
                <c:pt idx="5">
                  <c:v>1.1247182288421838</c:v>
                </c:pt>
                <c:pt idx="6">
                  <c:v>0.98784358780326376</c:v>
                </c:pt>
                <c:pt idx="7">
                  <c:v>1.1236051927069604</c:v>
                </c:pt>
                <c:pt idx="8">
                  <c:v>2.3463217937002581</c:v>
                </c:pt>
                <c:pt idx="9">
                  <c:v>2.9919491597073931</c:v>
                </c:pt>
                <c:pt idx="10">
                  <c:v>4.801833238134277</c:v>
                </c:pt>
                <c:pt idx="11">
                  <c:v>6.221396104374433</c:v>
                </c:pt>
              </c:numCache>
            </c:numRef>
          </c:val>
        </c:ser>
        <c:ser>
          <c:idx val="0"/>
          <c:order val="1"/>
          <c:tx>
            <c:strRef>
              <c:f>'PGC GRAPHS'!$A$4</c:f>
              <c:strCache>
                <c:ptCount val="1"/>
                <c:pt idx="0">
                  <c:v>UNIT COMMODITY COST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GRAPHS'!$B$3:$M$3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GRAPHS'!$B$4:$M$4</c:f>
              <c:numCache>
                <c:formatCode>"$"#,##0.00</c:formatCode>
                <c:ptCount val="12"/>
                <c:pt idx="0">
                  <c:v>3.8413362817313059</c:v>
                </c:pt>
                <c:pt idx="1">
                  <c:v>3.9827278428716819</c:v>
                </c:pt>
                <c:pt idx="2">
                  <c:v>3.4646019923734803</c:v>
                </c:pt>
                <c:pt idx="3">
                  <c:v>4.4000271562770594</c:v>
                </c:pt>
                <c:pt idx="4">
                  <c:v>3.5853008051364541</c:v>
                </c:pt>
                <c:pt idx="5">
                  <c:v>4.0344246610219177</c:v>
                </c:pt>
                <c:pt idx="6">
                  <c:v>4.4147304044133326</c:v>
                </c:pt>
                <c:pt idx="7">
                  <c:v>3.8863900600224532</c:v>
                </c:pt>
                <c:pt idx="8">
                  <c:v>3.8487363371247243</c:v>
                </c:pt>
                <c:pt idx="9">
                  <c:v>3.5704380200086798</c:v>
                </c:pt>
                <c:pt idx="10">
                  <c:v>1.7460450418390023</c:v>
                </c:pt>
                <c:pt idx="11">
                  <c:v>2.2673894018080398</c:v>
                </c:pt>
              </c:numCache>
            </c:numRef>
          </c:val>
        </c:ser>
        <c:overlap val="100"/>
        <c:axId val="107965824"/>
        <c:axId val="107988096"/>
      </c:barChart>
      <c:dateAx>
        <c:axId val="107965824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98809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7988096"/>
        <c:scaling>
          <c:orientation val="minMax"/>
          <c:max val="16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$/Mcf</a:t>
                </a:r>
              </a:p>
            </c:rich>
          </c:tx>
          <c:layout>
            <c:manualLayout>
              <c:xMode val="edge"/>
              <c:yMode val="edge"/>
              <c:x val="1.4349814381310447E-2"/>
              <c:y val="0.46972470998379112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965824"/>
        <c:crosses val="autoZero"/>
        <c:crossBetween val="between"/>
        <c:majorUnit val="5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739910619280889"/>
          <c:y val="0.94311935244735623"/>
          <c:w val="0.28340810101442976"/>
          <c:h val="4.403678547815117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Unit Costs with Average Unit Demand</a:t>
            </a:r>
          </a:p>
        </c:rich>
      </c:tx>
      <c:layout>
        <c:manualLayout>
          <c:xMode val="edge"/>
          <c:yMode val="edge"/>
          <c:x val="0.33231424775609375"/>
          <c:y val="2.935785698543407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3394568475416186E-2"/>
          <c:y val="0.13944954128441317"/>
          <c:w val="0.88888977375781819"/>
          <c:h val="0.72660550458720063"/>
        </c:manualLayout>
      </c:layout>
      <c:barChart>
        <c:barDir val="col"/>
        <c:grouping val="stacked"/>
        <c:ser>
          <c:idx val="1"/>
          <c:order val="0"/>
          <c:tx>
            <c:strRef>
              <c:f>'PGC GRAPHS'!$A$7</c:f>
              <c:strCache>
                <c:ptCount val="1"/>
                <c:pt idx="0">
                  <c:v>PROJ AVG UNIT DEMAND COST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GRAPHS'!$B$3:$M$3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GRAPHS'!$B$7:$M$7</c:f>
              <c:numCache>
                <c:formatCode>"$"#,##0.00</c:formatCode>
                <c:ptCount val="12"/>
                <c:pt idx="0">
                  <c:v>1.8934005074735722</c:v>
                </c:pt>
                <c:pt idx="1">
                  <c:v>1.8934005074735722</c:v>
                </c:pt>
                <c:pt idx="2">
                  <c:v>1.8934005074735722</c:v>
                </c:pt>
                <c:pt idx="3">
                  <c:v>1.8934005074735722</c:v>
                </c:pt>
                <c:pt idx="4">
                  <c:v>1.8934005074735722</c:v>
                </c:pt>
                <c:pt idx="5">
                  <c:v>1.8934005074735722</c:v>
                </c:pt>
                <c:pt idx="6">
                  <c:v>1.8934005074735722</c:v>
                </c:pt>
                <c:pt idx="7">
                  <c:v>1.8934005074735722</c:v>
                </c:pt>
                <c:pt idx="8">
                  <c:v>1.8934005074735722</c:v>
                </c:pt>
                <c:pt idx="9">
                  <c:v>1.8934005074735722</c:v>
                </c:pt>
                <c:pt idx="10">
                  <c:v>1.8934005074735722</c:v>
                </c:pt>
                <c:pt idx="11">
                  <c:v>1.8934005074735722</c:v>
                </c:pt>
              </c:numCache>
            </c:numRef>
          </c:val>
        </c:ser>
        <c:ser>
          <c:idx val="0"/>
          <c:order val="1"/>
          <c:tx>
            <c:strRef>
              <c:f>'PGC GRAPHS'!$A$4</c:f>
              <c:strCache>
                <c:ptCount val="1"/>
                <c:pt idx="0">
                  <c:v>UNIT COMMODITY COST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GRAPHS'!$B$3:$M$3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GRAPHS'!$B$4:$M$4</c:f>
              <c:numCache>
                <c:formatCode>"$"#,##0.00</c:formatCode>
                <c:ptCount val="12"/>
                <c:pt idx="0">
                  <c:v>3.8413362817313059</c:v>
                </c:pt>
                <c:pt idx="1">
                  <c:v>3.9827278428716819</c:v>
                </c:pt>
                <c:pt idx="2">
                  <c:v>3.4646019923734803</c:v>
                </c:pt>
                <c:pt idx="3">
                  <c:v>4.4000271562770594</c:v>
                </c:pt>
                <c:pt idx="4">
                  <c:v>3.5853008051364541</c:v>
                </c:pt>
                <c:pt idx="5">
                  <c:v>4.0344246610219177</c:v>
                </c:pt>
                <c:pt idx="6">
                  <c:v>4.4147304044133326</c:v>
                </c:pt>
                <c:pt idx="7">
                  <c:v>3.8863900600224532</c:v>
                </c:pt>
                <c:pt idx="8">
                  <c:v>3.8487363371247243</c:v>
                </c:pt>
                <c:pt idx="9">
                  <c:v>3.5704380200086798</c:v>
                </c:pt>
                <c:pt idx="10">
                  <c:v>1.7460450418390023</c:v>
                </c:pt>
                <c:pt idx="11">
                  <c:v>2.2673894018080398</c:v>
                </c:pt>
              </c:numCache>
            </c:numRef>
          </c:val>
        </c:ser>
        <c:overlap val="100"/>
        <c:axId val="108021632"/>
        <c:axId val="108023168"/>
      </c:barChart>
      <c:dateAx>
        <c:axId val="108021632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023168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8023168"/>
        <c:scaling>
          <c:orientation val="minMax"/>
          <c:max val="16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$/Mcf</a:t>
                </a:r>
              </a:p>
            </c:rich>
          </c:tx>
          <c:layout>
            <c:manualLayout>
              <c:xMode val="edge"/>
              <c:yMode val="edge"/>
              <c:x val="1.6309905706231181E-2"/>
              <c:y val="0.46972470998379112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021632"/>
        <c:crosses val="autoZero"/>
        <c:crossBetween val="between"/>
        <c:majorUnit val="5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110128209284389"/>
          <c:y val="0.94311935244735623"/>
          <c:w val="0.39347644816005645"/>
          <c:h val="4.403678547815117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Unit Costs vs Rate</a:t>
            </a:r>
          </a:p>
        </c:rich>
      </c:tx>
      <c:layout>
        <c:manualLayout>
          <c:xMode val="edge"/>
          <c:yMode val="edge"/>
          <c:x val="0.4057088234341078"/>
          <c:y val="2.935785698543407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3394568475416186E-2"/>
          <c:y val="0.13944954128441317"/>
          <c:w val="0.88888977375781819"/>
          <c:h val="0.72660550458720063"/>
        </c:manualLayout>
      </c:layout>
      <c:lineChart>
        <c:grouping val="standard"/>
        <c:ser>
          <c:idx val="0"/>
          <c:order val="0"/>
          <c:tx>
            <c:strRef>
              <c:f>'PGC GRAPHS'!$A$6</c:f>
              <c:strCache>
                <c:ptCount val="1"/>
                <c:pt idx="0">
                  <c:v>UNIT COST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'PGC GRAPHS'!$B$3:$M$3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GRAPHS'!$B$6:$M$6</c:f>
              <c:numCache>
                <c:formatCode>"$"#,##0.00</c:formatCode>
                <c:ptCount val="12"/>
                <c:pt idx="0">
                  <c:v>11.472746201925935</c:v>
                </c:pt>
                <c:pt idx="1">
                  <c:v>10.386147929604249</c:v>
                </c:pt>
                <c:pt idx="2">
                  <c:v>9.1564786681534258</c:v>
                </c:pt>
                <c:pt idx="3">
                  <c:v>7.7324688923811378</c:v>
                </c:pt>
                <c:pt idx="4">
                  <c:v>5.250140539526889</c:v>
                </c:pt>
                <c:pt idx="5">
                  <c:v>5.1591428898641016</c:v>
                </c:pt>
                <c:pt idx="6">
                  <c:v>5.4025739922165963</c:v>
                </c:pt>
                <c:pt idx="7">
                  <c:v>5.0099952527294134</c:v>
                </c:pt>
                <c:pt idx="8">
                  <c:v>6.1950581308249824</c:v>
                </c:pt>
                <c:pt idx="9">
                  <c:v>6.5623871797160724</c:v>
                </c:pt>
                <c:pt idx="10">
                  <c:v>6.5478782799732791</c:v>
                </c:pt>
                <c:pt idx="11">
                  <c:v>8.4887855061824737</c:v>
                </c:pt>
              </c:numCache>
            </c:numRef>
          </c:val>
        </c:ser>
        <c:ser>
          <c:idx val="1"/>
          <c:order val="1"/>
          <c:tx>
            <c:strRef>
              <c:f>'PGC GRAPHS'!$A$8</c:f>
              <c:strCache>
                <c:ptCount val="1"/>
                <c:pt idx="0">
                  <c:v>PGC RATE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FF00"/>
              </a:solidFill>
              <a:ln>
                <a:solidFill>
                  <a:srgbClr val="00FF00"/>
                </a:solidFill>
                <a:prstDash val="solid"/>
              </a:ln>
            </c:spPr>
          </c:marker>
          <c:cat>
            <c:numRef>
              <c:f>'PGC GRAPHS'!$B$3:$M$3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GRAPHS'!$B$8:$M$8</c:f>
              <c:numCache>
                <c:formatCode>"$"#,##0.00</c:formatCode>
                <c:ptCount val="12"/>
                <c:pt idx="0">
                  <c:v>6.5</c:v>
                </c:pt>
                <c:pt idx="1">
                  <c:v>6.5</c:v>
                </c:pt>
                <c:pt idx="2">
                  <c:v>6.5</c:v>
                </c:pt>
                <c:pt idx="3">
                  <c:v>6.5</c:v>
                </c:pt>
                <c:pt idx="4">
                  <c:v>6.5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</c:numCache>
            </c:numRef>
          </c:val>
        </c:ser>
        <c:marker val="1"/>
        <c:axId val="108269568"/>
        <c:axId val="108271488"/>
      </c:lineChart>
      <c:dateAx>
        <c:axId val="108269568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271488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8271488"/>
        <c:scaling>
          <c:orientation val="minMax"/>
          <c:max val="16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$/Mcf</a:t>
                </a:r>
              </a:p>
            </c:rich>
          </c:tx>
          <c:layout>
            <c:manualLayout>
              <c:xMode val="edge"/>
              <c:yMode val="edge"/>
              <c:x val="1.6309905706231181E-2"/>
              <c:y val="0.46972470998379112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269568"/>
        <c:crosses val="autoZero"/>
        <c:crossBetween val="between"/>
        <c:majorUnit val="5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1080576347711467"/>
          <c:y val="0.94311935244735623"/>
          <c:w val="0.21406748539150591"/>
          <c:h val="4.403678547815117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565" r="0.75000000000001565" t="1" header="0.5" footer="0.5"/>
    <c:pageSetup orientation="landscape"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Monthly PGC Costs vs Revenue</a:t>
            </a:r>
          </a:p>
        </c:rich>
      </c:tx>
      <c:layout>
        <c:manualLayout>
          <c:xMode val="edge"/>
          <c:yMode val="edge"/>
          <c:x val="0.37385157102278904"/>
          <c:y val="2.935785698543407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5802009787589797E-2"/>
          <c:y val="0.13944954128441317"/>
          <c:w val="0.87640624283038104"/>
          <c:h val="0.81467889908256885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'PGC GRAPHS'!$B$58:$M$58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GRAPHS'!$B$62:$M$62</c:f>
              <c:numCache>
                <c:formatCode>"$"#,##0.0_);[Red]\("$"#,##0.0\)</c:formatCode>
                <c:ptCount val="12"/>
                <c:pt idx="0">
                  <c:v>-0.81655517761076934</c:v>
                </c:pt>
                <c:pt idx="1">
                  <c:v>-0.73118170518304182</c:v>
                </c:pt>
                <c:pt idx="2">
                  <c:v>-0.48539268117882672</c:v>
                </c:pt>
                <c:pt idx="3">
                  <c:v>-0.447818315394509</c:v>
                </c:pt>
                <c:pt idx="4">
                  <c:v>1.3913039760453758</c:v>
                </c:pt>
                <c:pt idx="5">
                  <c:v>1.3029255619800235</c:v>
                </c:pt>
                <c:pt idx="6">
                  <c:v>1.0299071348147031</c:v>
                </c:pt>
                <c:pt idx="7">
                  <c:v>1.5584068251834591</c:v>
                </c:pt>
                <c:pt idx="8">
                  <c:v>-0.77836052565071112</c:v>
                </c:pt>
                <c:pt idx="9">
                  <c:v>-0.67335849882701959</c:v>
                </c:pt>
                <c:pt idx="10">
                  <c:v>-0.2432686632960479</c:v>
                </c:pt>
                <c:pt idx="11">
                  <c:v>-0.62324406797390863</c:v>
                </c:pt>
              </c:numCache>
            </c:numRef>
          </c:val>
        </c:ser>
        <c:axId val="107972864"/>
        <c:axId val="108322816"/>
      </c:barChart>
      <c:dateAx>
        <c:axId val="107972864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32281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832281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6343281163928587E-2"/>
              <c:y val="0.49908256696925085"/>
            </c:manualLayout>
          </c:layout>
          <c:spPr>
            <a:noFill/>
            <a:ln w="25400">
              <a:noFill/>
            </a:ln>
          </c:spPr>
        </c:title>
        <c:numFmt formatCode="&quot;$&quot;#,##0.0_);[Red]\(&quot;$&quot;#,##0.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97286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7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 Cumulative PGC Recovery %</a:t>
            </a:r>
          </a:p>
        </c:rich>
      </c:tx>
      <c:layout>
        <c:manualLayout>
          <c:xMode val="edge"/>
          <c:yMode val="edge"/>
          <c:x val="0.35166818821562368"/>
          <c:y val="2.841922948171220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8367899008115466E-2"/>
          <c:y val="0.15808170515097691"/>
          <c:w val="0.88728584310189362"/>
          <c:h val="0.79396092362344584"/>
        </c:manualLayout>
      </c:layout>
      <c:lineChart>
        <c:grouping val="standard"/>
        <c:ser>
          <c:idx val="0"/>
          <c:order val="0"/>
          <c:tx>
            <c:strRef>
              <c:f>'PGC GRAPHS'!$A$138</c:f>
              <c:strCache>
                <c:ptCount val="1"/>
                <c:pt idx="0">
                  <c:v>CUMULATIVE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delete val="1"/>
          </c:dLbls>
          <c:cat>
            <c:numRef>
              <c:f>'PGC GRAPHS'!$B$137:$M$137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GRAPHS'!$B$138:$M$138</c:f>
              <c:numCache>
                <c:formatCode>0.0%</c:formatCode>
                <c:ptCount val="12"/>
                <c:pt idx="0">
                  <c:v>0.13868595925770869</c:v>
                </c:pt>
                <c:pt idx="1">
                  <c:v>0.1207179111892433</c:v>
                </c:pt>
                <c:pt idx="2">
                  <c:v>0.10965970456370178</c:v>
                </c:pt>
                <c:pt idx="3">
                  <c:v>0.10006689611150414</c:v>
                </c:pt>
                <c:pt idx="4">
                  <c:v>0.12578225117362593</c:v>
                </c:pt>
                <c:pt idx="5">
                  <c:v>0.15039482414440675</c:v>
                </c:pt>
                <c:pt idx="6">
                  <c:v>0.16985001425536972</c:v>
                </c:pt>
                <c:pt idx="7">
                  <c:v>0.19928868889822612</c:v>
                </c:pt>
                <c:pt idx="8">
                  <c:v>0.18382966442151277</c:v>
                </c:pt>
                <c:pt idx="9">
                  <c:v>0.1681817758595881</c:v>
                </c:pt>
                <c:pt idx="10">
                  <c:v>0.16009167920782377</c:v>
                </c:pt>
                <c:pt idx="11">
                  <c:v>0.14472930583044941</c:v>
                </c:pt>
              </c:numCache>
            </c:numRef>
          </c:val>
        </c:ser>
        <c:dLbls>
          <c:showVal val="1"/>
        </c:dLbls>
        <c:marker val="1"/>
        <c:axId val="108093440"/>
        <c:axId val="108094976"/>
      </c:lineChart>
      <c:dateAx>
        <c:axId val="108093440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09497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8094976"/>
        <c:scaling>
          <c:orientation val="minMax"/>
          <c:max val="0.2"/>
          <c:min val="-0.2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44274221157138E-2"/>
              <c:y val="0.49733564265649777"/>
            </c:manualLayout>
          </c:layout>
          <c:spPr>
            <a:noFill/>
            <a:ln w="25400">
              <a:noFill/>
            </a:ln>
          </c:spPr>
        </c:title>
        <c:numFmt formatCode="0%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093440"/>
        <c:crosses val="autoZero"/>
        <c:crossBetween val="between"/>
        <c:majorUnit val="0.05"/>
        <c:minorUnit val="2.0000000000000011E-2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PGC Unit Commodity Cost vs NYMEX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'PGC GRAPHS'!$A$4</c:f>
              <c:strCache>
                <c:ptCount val="1"/>
                <c:pt idx="0">
                  <c:v>UNIT COMMODITY COST</c:v>
                </c:pt>
              </c:strCache>
            </c:strRef>
          </c:tx>
          <c:spPr>
            <a:ln w="25400" cap="flat" cmpd="sng" algn="ctr">
              <a:solidFill>
                <a:schemeClr val="accent3"/>
              </a:solidFill>
              <a:prstDash val="solid"/>
            </a:ln>
            <a:effectLst/>
          </c:spPr>
          <c:marker>
            <c:spPr>
              <a:solidFill>
                <a:srgbClr val="00FF00"/>
              </a:solidFill>
              <a:ln w="25400" cap="flat" cmpd="sng" algn="ctr">
                <a:solidFill>
                  <a:schemeClr val="accent3"/>
                </a:solidFill>
                <a:prstDash val="solid"/>
              </a:ln>
              <a:effectLst/>
            </c:spPr>
          </c:marker>
          <c:cat>
            <c:numRef>
              <c:f>'PGC GRAPHS'!$B$3:$M$3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GRAPHS'!$B$4:$M$4</c:f>
              <c:numCache>
                <c:formatCode>"$"#,##0.00</c:formatCode>
                <c:ptCount val="12"/>
                <c:pt idx="0">
                  <c:v>3.8413362817313059</c:v>
                </c:pt>
                <c:pt idx="1">
                  <c:v>3.9827278428716819</c:v>
                </c:pt>
                <c:pt idx="2">
                  <c:v>3.4646019923734803</c:v>
                </c:pt>
                <c:pt idx="3">
                  <c:v>4.4000271562770594</c:v>
                </c:pt>
                <c:pt idx="4">
                  <c:v>3.5853008051364541</c:v>
                </c:pt>
                <c:pt idx="5">
                  <c:v>4.0344246610219177</c:v>
                </c:pt>
                <c:pt idx="6">
                  <c:v>4.4147304044133326</c:v>
                </c:pt>
                <c:pt idx="7">
                  <c:v>3.8863900600224532</c:v>
                </c:pt>
                <c:pt idx="8">
                  <c:v>3.8487363371247243</c:v>
                </c:pt>
                <c:pt idx="9">
                  <c:v>3.5704380200086798</c:v>
                </c:pt>
                <c:pt idx="10">
                  <c:v>1.7460450418390023</c:v>
                </c:pt>
                <c:pt idx="11">
                  <c:v>2.2673894018080398</c:v>
                </c:pt>
              </c:numCache>
            </c:numRef>
          </c:val>
        </c:ser>
        <c:ser>
          <c:idx val="1"/>
          <c:order val="1"/>
          <c:tx>
            <c:strRef>
              <c:f>'PGC GRAPHS'!$A$10</c:f>
              <c:strCache>
                <c:ptCount val="1"/>
                <c:pt idx="0">
                  <c:v>NYMEX</c:v>
                </c:pt>
              </c:strCache>
            </c:strRef>
          </c:tx>
          <c:marker>
            <c:spPr>
              <a:solidFill>
                <a:srgbClr val="FF0000"/>
              </a:solidFill>
            </c:spPr>
          </c:marker>
          <c:cat>
            <c:numRef>
              <c:f>'PGC GRAPHS'!$B$3:$M$3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'PGC GRAPHS'!$B$10:$M$10</c:f>
              <c:numCache>
                <c:formatCode>"$"#,##0.00</c:formatCode>
                <c:ptCount val="12"/>
                <c:pt idx="0">
                  <c:v>4.3570000000000002</c:v>
                </c:pt>
                <c:pt idx="1">
                  <c:v>4.32</c:v>
                </c:pt>
                <c:pt idx="2">
                  <c:v>3.8570000000000002</c:v>
                </c:pt>
                <c:pt idx="3">
                  <c:v>3.7589999999999999</c:v>
                </c:pt>
                <c:pt idx="4">
                  <c:v>3.524</c:v>
                </c:pt>
                <c:pt idx="5">
                  <c:v>3.3639999999999999</c:v>
                </c:pt>
                <c:pt idx="6">
                  <c:v>3.0840000000000001</c:v>
                </c:pt>
                <c:pt idx="7">
                  <c:v>2.6779999999999999</c:v>
                </c:pt>
                <c:pt idx="8">
                  <c:v>2.4460000000000002</c:v>
                </c:pt>
                <c:pt idx="9">
                  <c:v>2.1909999999999998</c:v>
                </c:pt>
                <c:pt idx="10">
                  <c:v>2.036</c:v>
                </c:pt>
                <c:pt idx="11">
                  <c:v>2.4289999999999998</c:v>
                </c:pt>
              </c:numCache>
            </c:numRef>
          </c:val>
        </c:ser>
        <c:marker val="1"/>
        <c:axId val="108122880"/>
        <c:axId val="108124800"/>
      </c:lineChart>
      <c:dateAx>
        <c:axId val="108122880"/>
        <c:scaling>
          <c:orientation val="minMax"/>
        </c:scaling>
        <c:axPos val="b"/>
        <c:numFmt formatCode="mmm\-yy" sourceLinked="1"/>
        <c:tickLblPos val="nextTo"/>
        <c:crossAx val="108124800"/>
        <c:crosses val="autoZero"/>
        <c:auto val="1"/>
        <c:lblOffset val="100"/>
      </c:dateAx>
      <c:valAx>
        <c:axId val="108124800"/>
        <c:scaling>
          <c:orientation val="minMax"/>
        </c:scaling>
        <c:axPos val="l"/>
        <c:majorGridlines/>
        <c:numFmt formatCode="&quot;$&quot;#,##0.00" sourceLinked="1"/>
        <c:tickLblPos val="nextTo"/>
        <c:crossAx val="108122880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7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 Cumulative PGC Recovery %</a:t>
            </a:r>
          </a:p>
        </c:rich>
      </c:tx>
      <c:layout>
        <c:manualLayout>
          <c:xMode val="edge"/>
          <c:yMode val="edge"/>
          <c:x val="0.35166818821562384"/>
          <c:y val="2.841922948171220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8367899008115466E-2"/>
          <c:y val="0.15808170515097691"/>
          <c:w val="0.88728584310189362"/>
          <c:h val="0.79396092362344584"/>
        </c:manualLayout>
      </c:layout>
      <c:lineChart>
        <c:grouping val="standard"/>
        <c:ser>
          <c:idx val="0"/>
          <c:order val="0"/>
          <c:tx>
            <c:strRef>
              <c:f>'PGC GRAPHS'!$X$138</c:f>
              <c:strCache>
                <c:ptCount val="1"/>
                <c:pt idx="0">
                  <c:v>CUMULATIVE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delete val="1"/>
          </c:dLbls>
          <c:cat>
            <c:numRef>
              <c:f>'PGC GRAPHS'!$Y$137:$AJ$137</c:f>
              <c:numCache>
                <c:formatCode>mmm\-yy</c:formatCode>
                <c:ptCount val="1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41275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</c:numCache>
            </c:numRef>
          </c:cat>
          <c:val>
            <c:numRef>
              <c:f>'PGC GRAPHS'!$Y$138:$AJ$138</c:f>
              <c:numCache>
                <c:formatCode>0.0%</c:formatCode>
                <c:ptCount val="12"/>
                <c:pt idx="0">
                  <c:v>0.10617674371219338</c:v>
                </c:pt>
                <c:pt idx="1">
                  <c:v>8.3796443666256881E-2</c:v>
                </c:pt>
                <c:pt idx="2">
                  <c:v>6.3757556857313602E-2</c:v>
                </c:pt>
                <c:pt idx="3">
                  <c:v>4.8355214339810638E-2</c:v>
                </c:pt>
                <c:pt idx="4">
                  <c:v>4.0459365813085145E-2</c:v>
                </c:pt>
                <c:pt idx="5">
                  <c:v>3.9860643021356099E-2</c:v>
                </c:pt>
                <c:pt idx="6">
                  <c:v>3.9746393811338432E-2</c:v>
                </c:pt>
                <c:pt idx="7">
                  <c:v>3.4579220492518055E-2</c:v>
                </c:pt>
                <c:pt idx="8">
                  <c:v>2.2915263157057275E-2</c:v>
                </c:pt>
                <c:pt idx="9">
                  <c:v>5.2936329518915876E-3</c:v>
                </c:pt>
                <c:pt idx="10">
                  <c:v>-1.4004716589121847E-2</c:v>
                </c:pt>
                <c:pt idx="11">
                  <c:v>-3.5670708896623923E-2</c:v>
                </c:pt>
              </c:numCache>
            </c:numRef>
          </c:val>
        </c:ser>
        <c:dLbls>
          <c:showVal val="1"/>
        </c:dLbls>
        <c:marker val="1"/>
        <c:axId val="108350464"/>
        <c:axId val="108385408"/>
      </c:lineChart>
      <c:dateAx>
        <c:axId val="108350464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385408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8385408"/>
        <c:scaling>
          <c:orientation val="minMax"/>
          <c:max val="0.30000000000000032"/>
          <c:min val="-0.30000000000000032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44274221157138E-2"/>
              <c:y val="0.49733564265649777"/>
            </c:manualLayout>
          </c:layout>
          <c:spPr>
            <a:noFill/>
            <a:ln w="25400">
              <a:noFill/>
            </a:ln>
          </c:spPr>
        </c:title>
        <c:numFmt formatCode="0%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350464"/>
        <c:crosses val="autoZero"/>
        <c:crossBetween val="between"/>
        <c:majorUnit val="0.05"/>
        <c:minorUnit val="1.0000000000000005E-2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7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 Cumulative PGC Recovery %</a:t>
            </a:r>
          </a:p>
        </c:rich>
      </c:tx>
      <c:layout>
        <c:manualLayout>
          <c:xMode val="edge"/>
          <c:yMode val="edge"/>
          <c:x val="0.35166818821562396"/>
          <c:y val="2.841922948171220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8367899008115466E-2"/>
          <c:y val="0.15808170515097691"/>
          <c:w val="0.88728584310189362"/>
          <c:h val="0.79396092362344584"/>
        </c:manualLayout>
      </c:layout>
      <c:lineChart>
        <c:grouping val="standard"/>
        <c:ser>
          <c:idx val="0"/>
          <c:order val="0"/>
          <c:tx>
            <c:strRef>
              <c:f>'PGC GRAPHS'!$AN$138</c:f>
              <c:strCache>
                <c:ptCount val="1"/>
                <c:pt idx="0">
                  <c:v>CUMULATIVE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delete val="1"/>
          </c:dLbls>
          <c:cat>
            <c:numRef>
              <c:f>'PGC GRAPHS'!$AO$137:$AZ$137</c:f>
              <c:numCache>
                <c:formatCode>mmm\-yy</c:formatCode>
                <c:ptCount val="12"/>
                <c:pt idx="0">
                  <c:v>41456</c:v>
                </c:pt>
                <c:pt idx="1">
                  <c:v>41487</c:v>
                </c:pt>
                <c:pt idx="2">
                  <c:v>41518</c:v>
                </c:pt>
                <c:pt idx="3">
                  <c:v>41548</c:v>
                </c:pt>
                <c:pt idx="4">
                  <c:v>41579</c:v>
                </c:pt>
                <c:pt idx="5">
                  <c:v>41609</c:v>
                </c:pt>
                <c:pt idx="6">
                  <c:v>41640</c:v>
                </c:pt>
                <c:pt idx="7">
                  <c:v>41671</c:v>
                </c:pt>
                <c:pt idx="8">
                  <c:v>41699</c:v>
                </c:pt>
                <c:pt idx="9">
                  <c:v>41730</c:v>
                </c:pt>
                <c:pt idx="10">
                  <c:v>41760</c:v>
                </c:pt>
                <c:pt idx="11">
                  <c:v>41791</c:v>
                </c:pt>
              </c:numCache>
            </c:numRef>
          </c:cat>
          <c:val>
            <c:numRef>
              <c:f>'PGC GRAPHS'!$AO$138:$AZ$138</c:f>
              <c:numCache>
                <c:formatCode>0.0%</c:formatCode>
                <c:ptCount val="12"/>
                <c:pt idx="0">
                  <c:v>-5.494706646213391E-2</c:v>
                </c:pt>
                <c:pt idx="1">
                  <c:v>-7.697715660033537E-2</c:v>
                </c:pt>
                <c:pt idx="2">
                  <c:v>-9.6668920097919414E-2</c:v>
                </c:pt>
                <c:pt idx="3">
                  <c:v>-0.11425674739408719</c:v>
                </c:pt>
                <c:pt idx="4">
                  <c:v>-0.12952766520588191</c:v>
                </c:pt>
                <c:pt idx="5">
                  <c:v>-0.13856432634045907</c:v>
                </c:pt>
                <c:pt idx="6">
                  <c:v>-0.14780772915660947</c:v>
                </c:pt>
                <c:pt idx="7">
                  <c:v>-0.15947180385061949</c:v>
                </c:pt>
                <c:pt idx="8">
                  <c:v>-0.17603870723746975</c:v>
                </c:pt>
                <c:pt idx="9">
                  <c:v>-0.19477421325049868</c:v>
                </c:pt>
                <c:pt idx="10">
                  <c:v>-0.21644771480751523</c:v>
                </c:pt>
                <c:pt idx="11">
                  <c:v>-0.23929908371197084</c:v>
                </c:pt>
              </c:numCache>
            </c:numRef>
          </c:val>
        </c:ser>
        <c:dLbls>
          <c:showVal val="1"/>
        </c:dLbls>
        <c:marker val="1"/>
        <c:axId val="108351872"/>
        <c:axId val="108353792"/>
      </c:lineChart>
      <c:dateAx>
        <c:axId val="108351872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353792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8353792"/>
        <c:scaling>
          <c:orientation val="minMax"/>
          <c:max val="0.30000000000000032"/>
          <c:min val="-0.30000000000000032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44274221157138E-2"/>
              <c:y val="0.49733564265649777"/>
            </c:manualLayout>
          </c:layout>
          <c:spPr>
            <a:noFill/>
            <a:ln w="25400">
              <a:noFill/>
            </a:ln>
          </c:spPr>
        </c:title>
        <c:numFmt formatCode="0%" sourceLinked="0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08351872"/>
        <c:crosses val="autoZero"/>
        <c:crossBetween val="between"/>
        <c:majorUnit val="0.05"/>
        <c:minorUnit val="1.0000000000000005E-2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Non-PGC Monthly Commodity &amp; Demand Costs</a:t>
            </a:r>
          </a:p>
        </c:rich>
      </c:tx>
      <c:layout>
        <c:manualLayout>
          <c:xMode val="edge"/>
          <c:yMode val="edge"/>
          <c:x val="0.32406520130932465"/>
          <c:y val="2.935785698543407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2320230105465134E-2"/>
          <c:y val="0.13944954128441317"/>
          <c:w val="0.90220517737296257"/>
          <c:h val="0.72660550458720063"/>
        </c:manualLayout>
      </c:layout>
      <c:barChart>
        <c:barDir val="col"/>
        <c:grouping val="stacked"/>
        <c:ser>
          <c:idx val="0"/>
          <c:order val="0"/>
          <c:tx>
            <c:strRef>
              <c:f>'NONPGC GRAPHS'!$A$4</c:f>
              <c:strCache>
                <c:ptCount val="1"/>
                <c:pt idx="0">
                  <c:v>DEMAND</c:v>
                </c:pt>
              </c:strCache>
            </c:strRef>
          </c:tx>
          <c:spPr>
            <a:solidFill>
              <a:srgbClr val="808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'NONPGC GRAPHS'!$B$3:$M$3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'NONPGC GRAPHS'!$B$4:$M$4</c:f>
              <c:numCache>
                <c:formatCode>"$"#,##0.0</c:formatCode>
                <c:ptCount val="12"/>
                <c:pt idx="0">
                  <c:v>0.14772142999999999</c:v>
                </c:pt>
                <c:pt idx="1">
                  <c:v>0.15785141999999999</c:v>
                </c:pt>
                <c:pt idx="2">
                  <c:v>0.16130647000000001</c:v>
                </c:pt>
                <c:pt idx="3">
                  <c:v>0.16513951999999998</c:v>
                </c:pt>
                <c:pt idx="4">
                  <c:v>0.15459384999999998</c:v>
                </c:pt>
                <c:pt idx="5">
                  <c:v>0.15266501999999998</c:v>
                </c:pt>
                <c:pt idx="6">
                  <c:v>0.14924616999999998</c:v>
                </c:pt>
                <c:pt idx="7">
                  <c:v>0.13789524</c:v>
                </c:pt>
                <c:pt idx="8">
                  <c:v>0.13472933000000001</c:v>
                </c:pt>
                <c:pt idx="9">
                  <c:v>0.13382238000000002</c:v>
                </c:pt>
                <c:pt idx="10">
                  <c:v>0.13322627000000001</c:v>
                </c:pt>
                <c:pt idx="11">
                  <c:v>0.15</c:v>
                </c:pt>
              </c:numCache>
            </c:numRef>
          </c:val>
        </c:ser>
        <c:ser>
          <c:idx val="1"/>
          <c:order val="1"/>
          <c:tx>
            <c:strRef>
              <c:f>'NONPGC GRAPHS'!$A$5</c:f>
              <c:strCache>
                <c:ptCount val="1"/>
                <c:pt idx="0">
                  <c:v>COMMODITY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'NONPGC GRAPHS'!$B$3:$M$3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'NONPGC GRAPHS'!$B$5:$M$5</c:f>
              <c:numCache>
                <c:formatCode>"$"#,##0.0</c:formatCode>
                <c:ptCount val="12"/>
                <c:pt idx="0">
                  <c:v>1.0576081424188484</c:v>
                </c:pt>
                <c:pt idx="1">
                  <c:v>1.1636796859232112</c:v>
                </c:pt>
                <c:pt idx="2">
                  <c:v>1.1300437616893544</c:v>
                </c:pt>
                <c:pt idx="3">
                  <c:v>1.1952837676055847</c:v>
                </c:pt>
                <c:pt idx="4">
                  <c:v>1.3787652940453754</c:v>
                </c:pt>
                <c:pt idx="5">
                  <c:v>1.4524627232670158</c:v>
                </c:pt>
                <c:pt idx="6">
                  <c:v>1.420697444746946</c:v>
                </c:pt>
                <c:pt idx="7">
                  <c:v>1.2256736480558463</c:v>
                </c:pt>
                <c:pt idx="8">
                  <c:v>0.99748018848167541</c:v>
                </c:pt>
                <c:pt idx="9">
                  <c:v>0.67491456376963332</c:v>
                </c:pt>
                <c:pt idx="10">
                  <c:v>0.57673661570680634</c:v>
                </c:pt>
                <c:pt idx="11">
                  <c:v>0.63468564425828955</c:v>
                </c:pt>
              </c:numCache>
            </c:numRef>
          </c:val>
        </c:ser>
        <c:overlap val="100"/>
        <c:axId val="108367232"/>
        <c:axId val="108516480"/>
      </c:barChart>
      <c:dateAx>
        <c:axId val="108367232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516480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851648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1.5340345970267243E-2"/>
              <c:y val="0.45504578149105407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36723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2953019386092117"/>
          <c:y val="0.94311935244735623"/>
          <c:w val="0.16682647777135964"/>
          <c:h val="4.403678547815117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3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Monthly Gas Requirements</a:t>
            </a:r>
          </a:p>
        </c:rich>
      </c:tx>
      <c:layout>
        <c:manualLayout>
          <c:xMode val="edge"/>
          <c:yMode val="edge"/>
          <c:x val="0.37852432296298277"/>
          <c:y val="2.592090294662175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9184163167366525E-2"/>
          <c:y val="0.15006861269134991"/>
          <c:w val="0.89502099580083949"/>
          <c:h val="0.72442212126460459"/>
        </c:manualLayout>
      </c:layout>
      <c:barChart>
        <c:barDir val="col"/>
        <c:grouping val="stacked"/>
        <c:ser>
          <c:idx val="1"/>
          <c:order val="0"/>
          <c:tx>
            <c:strRef>
              <c:f>'TOTAL GRAPHS'!$A$99</c:f>
              <c:strCache>
                <c:ptCount val="1"/>
                <c:pt idx="0">
                  <c:v>NON-PGC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'TOTAL GRAPHS'!$B$97:$M$97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'TOTAL GRAPHS'!$B$99:$M$99</c:f>
              <c:numCache>
                <c:formatCode>#,##0</c:formatCode>
                <c:ptCount val="12"/>
                <c:pt idx="0">
                  <c:v>216811.1</c:v>
                </c:pt>
                <c:pt idx="1">
                  <c:v>240336.4</c:v>
                </c:pt>
                <c:pt idx="2">
                  <c:v>255779.8</c:v>
                </c:pt>
                <c:pt idx="3">
                  <c:v>275439.8</c:v>
                </c:pt>
                <c:pt idx="4">
                  <c:v>330773.90000000002</c:v>
                </c:pt>
                <c:pt idx="5">
                  <c:v>357854.10000000003</c:v>
                </c:pt>
                <c:pt idx="6">
                  <c:v>372037</c:v>
                </c:pt>
                <c:pt idx="7">
                  <c:v>352315.7</c:v>
                </c:pt>
                <c:pt idx="8">
                  <c:v>299981</c:v>
                </c:pt>
                <c:pt idx="9">
                  <c:v>269909.3</c:v>
                </c:pt>
                <c:pt idx="10">
                  <c:v>247803</c:v>
                </c:pt>
                <c:pt idx="11">
                  <c:v>229430.5</c:v>
                </c:pt>
              </c:numCache>
            </c:numRef>
          </c:val>
        </c:ser>
        <c:ser>
          <c:idx val="0"/>
          <c:order val="1"/>
          <c:tx>
            <c:strRef>
              <c:f>'TOTAL GRAPHS'!$A$98</c:f>
              <c:strCache>
                <c:ptCount val="1"/>
                <c:pt idx="0">
                  <c:v>PGC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'TOTAL GRAPHS'!$B$97:$M$97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'TOTAL GRAPHS'!$B$98:$M$98</c:f>
              <c:numCache>
                <c:formatCode>#,##0</c:formatCode>
                <c:ptCount val="12"/>
                <c:pt idx="0">
                  <c:v>237396.3</c:v>
                </c:pt>
                <c:pt idx="1">
                  <c:v>276343.30000000005</c:v>
                </c:pt>
                <c:pt idx="2">
                  <c:v>310780.5</c:v>
                </c:pt>
                <c:pt idx="3">
                  <c:v>555374.60000000009</c:v>
                </c:pt>
                <c:pt idx="4">
                  <c:v>1041641.6</c:v>
                </c:pt>
                <c:pt idx="5">
                  <c:v>1538484.5000000002</c:v>
                </c:pt>
                <c:pt idx="6">
                  <c:v>1758792.9</c:v>
                </c:pt>
                <c:pt idx="7">
                  <c:v>1565339.9000000001</c:v>
                </c:pt>
                <c:pt idx="8">
                  <c:v>805485.6</c:v>
                </c:pt>
                <c:pt idx="9">
                  <c:v>565655.50000000012</c:v>
                </c:pt>
                <c:pt idx="10">
                  <c:v>372153.9</c:v>
                </c:pt>
                <c:pt idx="11">
                  <c:v>281724.09999999998</c:v>
                </c:pt>
              </c:numCache>
            </c:numRef>
          </c:val>
        </c:ser>
        <c:overlap val="100"/>
        <c:axId val="108583168"/>
        <c:axId val="72945664"/>
      </c:barChart>
      <c:dateAx>
        <c:axId val="108583168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2945664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7294566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9.5980941428791024E-3"/>
              <c:y val="0.48294810882350758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58316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5590883819063982"/>
          <c:y val="0.93861093142394025"/>
          <c:w val="0.14157166684882555"/>
          <c:h val="5.184195459986734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5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0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Annual Mcf Requirements</a:t>
            </a:r>
          </a:p>
        </c:rich>
      </c:tx>
      <c:layout>
        <c:manualLayout>
          <c:xMode val="edge"/>
          <c:yMode val="edge"/>
          <c:x val="0.39390318998590507"/>
          <c:y val="2.620686024562119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37537358039453567"/>
          <c:y val="0.24551724137932548"/>
          <c:w val="0.24985056784219994"/>
          <c:h val="0.57655172413791556"/>
        </c:manualLayout>
      </c:layout>
      <c:pieChart>
        <c:varyColors val="1"/>
        <c:ser>
          <c:idx val="0"/>
          <c:order val="0"/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1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55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  <c:showLeaderLines val="1"/>
          </c:dLbls>
          <c:cat>
            <c:strRef>
              <c:f>'TOTAL GRAPHS'!$A$98:$A$99</c:f>
              <c:strCache>
                <c:ptCount val="2"/>
                <c:pt idx="0">
                  <c:v>PGC</c:v>
                </c:pt>
                <c:pt idx="1">
                  <c:v>NON-PGC</c:v>
                </c:pt>
              </c:strCache>
            </c:strRef>
          </c:cat>
          <c:val>
            <c:numRef>
              <c:f>'TOTAL GRAPHS'!$N$98:$N$99</c:f>
              <c:numCache>
                <c:formatCode>#,##0</c:formatCode>
                <c:ptCount val="2"/>
                <c:pt idx="0">
                  <c:v>9309172.7000000011</c:v>
                </c:pt>
                <c:pt idx="1">
                  <c:v>3448471.6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45248056733297309"/>
          <c:y val="0.95310350532830967"/>
          <c:w val="9.5636609125784228E-2"/>
          <c:h val="3.7241311884728991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Monthly Gas Costs for PGC and Non-PGC</a:t>
            </a:r>
          </a:p>
        </c:rich>
      </c:tx>
      <c:layout>
        <c:manualLayout>
          <c:xMode val="edge"/>
          <c:yMode val="edge"/>
          <c:x val="0.37797124339051735"/>
          <c:y val="2.718177315502805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5.1014521634127133E-2"/>
          <c:y val="0.13304739617897868"/>
          <c:w val="0.92405849414543373"/>
          <c:h val="0.75107401068775814"/>
        </c:manualLayout>
      </c:layout>
      <c:barChart>
        <c:barDir val="col"/>
        <c:grouping val="stacked"/>
        <c:ser>
          <c:idx val="0"/>
          <c:order val="0"/>
          <c:tx>
            <c:strRef>
              <c:f>'TOTAL GRAPHS'!$A$4</c:f>
              <c:strCache>
                <c:ptCount val="1"/>
                <c:pt idx="0">
                  <c:v>PGC COMMODITY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'TOTAL GRAPHS'!$B$3:$M$3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'TOTAL GRAPHS'!$B$4:$M$4</c:f>
              <c:numCache>
                <c:formatCode>"$"#,##0.0</c:formatCode>
                <c:ptCount val="12"/>
                <c:pt idx="0">
                  <c:v>0.91191902033876948</c:v>
                </c:pt>
                <c:pt idx="1">
                  <c:v>1.1006001551010423</c:v>
                </c:pt>
                <c:pt idx="2">
                  <c:v>1.0767307394908263</c:v>
                </c:pt>
                <c:pt idx="3">
                  <c:v>2.4436633219065098</c:v>
                </c:pt>
                <c:pt idx="4">
                  <c:v>3.7345984671436239</c:v>
                </c:pt>
                <c:pt idx="5">
                  <c:v>6.2068998073999762</c:v>
                </c:pt>
                <c:pt idx="6">
                  <c:v>7.764596490696297</c:v>
                </c:pt>
                <c:pt idx="7">
                  <c:v>6.0835214279165415</c:v>
                </c:pt>
                <c:pt idx="8">
                  <c:v>3.100101697750711</c:v>
                </c:pt>
                <c:pt idx="9">
                  <c:v>2.0196379034270202</c:v>
                </c:pt>
                <c:pt idx="10">
                  <c:v>0.64979747189604797</c:v>
                </c:pt>
                <c:pt idx="11">
                  <c:v>0.63877823857390836</c:v>
                </c:pt>
              </c:numCache>
            </c:numRef>
          </c:val>
        </c:ser>
        <c:ser>
          <c:idx val="1"/>
          <c:order val="1"/>
          <c:tx>
            <c:strRef>
              <c:f>'TOTAL GRAPHS'!$A$5</c:f>
              <c:strCache>
                <c:ptCount val="1"/>
                <c:pt idx="0">
                  <c:v>PGC DEMAND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'TOTAL GRAPHS'!$B$3:$M$3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'TOTAL GRAPHS'!$B$5:$M$5</c:f>
              <c:numCache>
                <c:formatCode>"$"#,##0.0</c:formatCode>
                <c:ptCount val="12"/>
                <c:pt idx="0">
                  <c:v>1.3877138952719998</c:v>
                </c:pt>
                <c:pt idx="1">
                  <c:v>1.3572810880819999</c:v>
                </c:pt>
                <c:pt idx="2">
                  <c:v>1.3490703956880001</c:v>
                </c:pt>
                <c:pt idx="3">
                  <c:v>1.5006145094880001</c:v>
                </c:pt>
                <c:pt idx="4">
                  <c:v>1.4796795888109999</c:v>
                </c:pt>
                <c:pt idx="5">
                  <c:v>1.4969599226200001</c:v>
                </c:pt>
                <c:pt idx="6">
                  <c:v>1.5140081024890002</c:v>
                </c:pt>
                <c:pt idx="7">
                  <c:v>1.5343128908999999</c:v>
                </c:pt>
                <c:pt idx="8">
                  <c:v>1.5485538478999998</c:v>
                </c:pt>
                <c:pt idx="9">
                  <c:v>1.3631416113999999</c:v>
                </c:pt>
                <c:pt idx="10">
                  <c:v>1.3576746513999998</c:v>
                </c:pt>
                <c:pt idx="11">
                  <c:v>1.3175423813999998</c:v>
                </c:pt>
              </c:numCache>
            </c:numRef>
          </c:val>
        </c:ser>
        <c:ser>
          <c:idx val="2"/>
          <c:order val="2"/>
          <c:tx>
            <c:strRef>
              <c:f>'TOTAL GRAPHS'!$A$6</c:f>
              <c:strCache>
                <c:ptCount val="1"/>
                <c:pt idx="0">
                  <c:v>NON-PGC COMMODITY</c:v>
                </c:pt>
              </c:strCache>
            </c:strRef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'TOTAL GRAPHS'!$B$3:$M$3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'TOTAL GRAPHS'!$B$6:$M$6</c:f>
              <c:numCache>
                <c:formatCode>"$"#,##0.0</c:formatCode>
                <c:ptCount val="12"/>
                <c:pt idx="0">
                  <c:v>1.0576081424188484</c:v>
                </c:pt>
                <c:pt idx="1">
                  <c:v>1.1636796859232112</c:v>
                </c:pt>
                <c:pt idx="2">
                  <c:v>1.1300437616893544</c:v>
                </c:pt>
                <c:pt idx="3">
                  <c:v>1.1952837676055847</c:v>
                </c:pt>
                <c:pt idx="4">
                  <c:v>1.3787652940453754</c:v>
                </c:pt>
                <c:pt idx="5">
                  <c:v>1.4524627232670158</c:v>
                </c:pt>
                <c:pt idx="6">
                  <c:v>1.420697444746946</c:v>
                </c:pt>
                <c:pt idx="7">
                  <c:v>1.2256736480558463</c:v>
                </c:pt>
                <c:pt idx="8">
                  <c:v>0.99748018848167541</c:v>
                </c:pt>
                <c:pt idx="9">
                  <c:v>0.67491456376963332</c:v>
                </c:pt>
                <c:pt idx="10">
                  <c:v>0.57673661570680634</c:v>
                </c:pt>
                <c:pt idx="11">
                  <c:v>0.63468564425828955</c:v>
                </c:pt>
              </c:numCache>
            </c:numRef>
          </c:val>
        </c:ser>
        <c:ser>
          <c:idx val="3"/>
          <c:order val="3"/>
          <c:tx>
            <c:strRef>
              <c:f>'TOTAL GRAPHS'!$A$7</c:f>
              <c:strCache>
                <c:ptCount val="1"/>
                <c:pt idx="0">
                  <c:v>NON-PGC DEMAND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'TOTAL GRAPHS'!$B$3:$M$3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'TOTAL GRAPHS'!$B$7:$M$7</c:f>
              <c:numCache>
                <c:formatCode>"$"#,##0.0</c:formatCode>
                <c:ptCount val="12"/>
                <c:pt idx="0">
                  <c:v>0.14772142999999999</c:v>
                </c:pt>
                <c:pt idx="1">
                  <c:v>0.15785141999999999</c:v>
                </c:pt>
                <c:pt idx="2">
                  <c:v>0.16130647000000001</c:v>
                </c:pt>
                <c:pt idx="3">
                  <c:v>0.16513951999999998</c:v>
                </c:pt>
                <c:pt idx="4">
                  <c:v>0.15459384999999998</c:v>
                </c:pt>
                <c:pt idx="5">
                  <c:v>0.15266501999999998</c:v>
                </c:pt>
                <c:pt idx="6">
                  <c:v>0.14924616999999998</c:v>
                </c:pt>
                <c:pt idx="7">
                  <c:v>0.13789524</c:v>
                </c:pt>
                <c:pt idx="8">
                  <c:v>0.13472933000000001</c:v>
                </c:pt>
                <c:pt idx="9">
                  <c:v>0.13382238000000002</c:v>
                </c:pt>
                <c:pt idx="10">
                  <c:v>0.13322627000000001</c:v>
                </c:pt>
                <c:pt idx="11">
                  <c:v>0.15</c:v>
                </c:pt>
              </c:numCache>
            </c:numRef>
          </c:val>
        </c:ser>
        <c:overlap val="100"/>
        <c:axId val="108803200"/>
        <c:axId val="108804736"/>
      </c:barChart>
      <c:dateAx>
        <c:axId val="108803200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80473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880473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9.2753915964586247E-3"/>
              <c:y val="0.46208936364383141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80320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115963055638425"/>
          <c:y val="0.95136034444431439"/>
          <c:w val="0.38318863203326725"/>
          <c:h val="3.862659069547958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5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Monthly Commodity &amp; Demand Gas Costs</a:t>
            </a:r>
          </a:p>
        </c:rich>
      </c:tx>
      <c:layout>
        <c:manualLayout>
          <c:xMode val="edge"/>
          <c:yMode val="edge"/>
          <c:x val="0.37448582972074707"/>
          <c:y val="2.657356509681580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5.1734303657719527E-2"/>
          <c:y val="0.13007028537556101"/>
          <c:w val="0.92298700843885972"/>
          <c:h val="0.75664542352890385"/>
        </c:manualLayout>
      </c:layout>
      <c:barChart>
        <c:barDir val="col"/>
        <c:grouping val="stacked"/>
        <c:ser>
          <c:idx val="0"/>
          <c:order val="0"/>
          <c:tx>
            <c:strRef>
              <c:f>'TOTAL GRAPHS'!$A$36</c:f>
              <c:strCache>
                <c:ptCount val="1"/>
                <c:pt idx="0">
                  <c:v>COMMODITY 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'TOTAL GRAPHS'!$B$35:$M$35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'TOTAL GRAPHS'!$B$36:$M$36</c:f>
              <c:numCache>
                <c:formatCode>"$"#,##0.0</c:formatCode>
                <c:ptCount val="12"/>
                <c:pt idx="0">
                  <c:v>1.9695271627576179</c:v>
                </c:pt>
                <c:pt idx="1">
                  <c:v>2.2642798410242535</c:v>
                </c:pt>
                <c:pt idx="2">
                  <c:v>2.2067745011801807</c:v>
                </c:pt>
                <c:pt idx="3">
                  <c:v>3.6389470895120946</c:v>
                </c:pt>
                <c:pt idx="4">
                  <c:v>5.1133637611889995</c:v>
                </c:pt>
                <c:pt idx="5">
                  <c:v>7.6593625306669919</c:v>
                </c:pt>
                <c:pt idx="6">
                  <c:v>9.1852939354432426</c:v>
                </c:pt>
                <c:pt idx="7">
                  <c:v>7.3091950759723874</c:v>
                </c:pt>
                <c:pt idx="8">
                  <c:v>4.0975818862323861</c:v>
                </c:pt>
                <c:pt idx="9">
                  <c:v>2.6945524671966536</c:v>
                </c:pt>
                <c:pt idx="10">
                  <c:v>1.2265340876028543</c:v>
                </c:pt>
                <c:pt idx="11">
                  <c:v>1.273463882832198</c:v>
                </c:pt>
              </c:numCache>
            </c:numRef>
          </c:val>
        </c:ser>
        <c:ser>
          <c:idx val="1"/>
          <c:order val="1"/>
          <c:tx>
            <c:strRef>
              <c:f>'TOTAL GRAPHS'!$A$37</c:f>
              <c:strCache>
                <c:ptCount val="1"/>
                <c:pt idx="0">
                  <c:v>DEMAND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'TOTAL GRAPHS'!$B$35:$M$35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'TOTAL GRAPHS'!$B$37:$M$37</c:f>
              <c:numCache>
                <c:formatCode>"$"#,##0.0</c:formatCode>
                <c:ptCount val="12"/>
                <c:pt idx="0">
                  <c:v>1.6910921852719998</c:v>
                </c:pt>
                <c:pt idx="1">
                  <c:v>1.6811641980819998</c:v>
                </c:pt>
                <c:pt idx="2">
                  <c:v>1.686606505688</c:v>
                </c:pt>
                <c:pt idx="3">
                  <c:v>1.8377052194880001</c:v>
                </c:pt>
                <c:pt idx="4">
                  <c:v>1.8010148288110002</c:v>
                </c:pt>
                <c:pt idx="5">
                  <c:v>1.8204964326200002</c:v>
                </c:pt>
                <c:pt idx="6">
                  <c:v>1.8161236224890003</c:v>
                </c:pt>
                <c:pt idx="7">
                  <c:v>1.8015436909</c:v>
                </c:pt>
                <c:pt idx="8">
                  <c:v>1.8179182879000002</c:v>
                </c:pt>
                <c:pt idx="9">
                  <c:v>1.6251106113999998</c:v>
                </c:pt>
                <c:pt idx="10">
                  <c:v>1.6188969214</c:v>
                </c:pt>
                <c:pt idx="11">
                  <c:v>1.6175423813999998</c:v>
                </c:pt>
              </c:numCache>
            </c:numRef>
          </c:val>
        </c:ser>
        <c:overlap val="100"/>
        <c:axId val="108825984"/>
        <c:axId val="108741760"/>
      </c:barChart>
      <c:dateAx>
        <c:axId val="108825984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741760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874176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9.4062281245004056E-3"/>
              <c:y val="0.46293833735226853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82598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4855993828683893"/>
          <c:y val="0.9524500874256"/>
          <c:w val="0.12933576088323084"/>
          <c:h val="3.776236243328801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6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 Monthly Gas Costs</a:t>
            </a:r>
          </a:p>
        </c:rich>
      </c:tx>
      <c:layout>
        <c:manualLayout>
          <c:xMode val="edge"/>
          <c:yMode val="edge"/>
          <c:x val="0.43761575257638224"/>
          <c:y val="2.663128434912521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5.4087342126207812E-2"/>
          <c:y val="0.12782989303296921"/>
          <c:w val="0.91948481614556365"/>
          <c:h val="0.80559463838490064"/>
        </c:manualLayout>
      </c:layout>
      <c:barChart>
        <c:barDir val="col"/>
        <c:grouping val="clustered"/>
        <c:ser>
          <c:idx val="0"/>
          <c:order val="0"/>
          <c:tx>
            <c:strRef>
              <c:f>'TOTAL GRAPHS'!$A$67</c:f>
              <c:strCache>
                <c:ptCount val="1"/>
                <c:pt idx="0">
                  <c:v>TOTAL MTH GAS COSTS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'TOTAL GRAPHS'!$B$66:$M$66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'TOTAL GRAPHS'!$B$67:$M$67</c:f>
              <c:numCache>
                <c:formatCode>"$"#,##0.0</c:formatCode>
                <c:ptCount val="12"/>
                <c:pt idx="0">
                  <c:v>3.6606193480296176</c:v>
                </c:pt>
                <c:pt idx="1">
                  <c:v>3.9454440391062535</c:v>
                </c:pt>
                <c:pt idx="2">
                  <c:v>3.8933810068681809</c:v>
                </c:pt>
                <c:pt idx="3">
                  <c:v>5.4766523090000945</c:v>
                </c:pt>
                <c:pt idx="4">
                  <c:v>6.9143785900000001</c:v>
                </c:pt>
                <c:pt idx="5">
                  <c:v>9.4798589632869916</c:v>
                </c:pt>
                <c:pt idx="6">
                  <c:v>11.001417557932243</c:v>
                </c:pt>
                <c:pt idx="7">
                  <c:v>9.1107387668723874</c:v>
                </c:pt>
                <c:pt idx="8">
                  <c:v>5.9155001741323865</c:v>
                </c:pt>
                <c:pt idx="9">
                  <c:v>4.319663078596653</c:v>
                </c:pt>
                <c:pt idx="10">
                  <c:v>2.8454310090028541</c:v>
                </c:pt>
                <c:pt idx="11">
                  <c:v>2.8910062642321979</c:v>
                </c:pt>
              </c:numCache>
            </c:numRef>
          </c:val>
        </c:ser>
        <c:axId val="108770432"/>
        <c:axId val="108771968"/>
      </c:barChart>
      <c:dateAx>
        <c:axId val="108770432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771968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877196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Millions</a:t>
                </a:r>
              </a:p>
            </c:rich>
          </c:tx>
          <c:layout>
            <c:manualLayout>
              <c:xMode val="edge"/>
              <c:yMode val="edge"/>
              <c:x val="9.8340304864490066E-3"/>
              <c:y val="0.48735140151679934"/>
            </c:manualLayout>
          </c:layout>
          <c:spPr>
            <a:noFill/>
            <a:ln w="25400">
              <a:noFill/>
            </a:ln>
          </c:spPr>
        </c:title>
        <c:numFmt formatCode="\$#,##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77043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RS Monthly Sales - Actual vs Projections</a:t>
            </a:r>
          </a:p>
        </c:rich>
      </c:tx>
      <c:layout>
        <c:manualLayout>
          <c:xMode val="edge"/>
          <c:yMode val="edge"/>
          <c:x val="0.36064178524771512"/>
          <c:y val="2.283115718130502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1398060785251532"/>
          <c:y val="0.12937614359800645"/>
          <c:w val="0.84862124440193065"/>
          <c:h val="0.68645459720824598"/>
        </c:manualLayout>
      </c:layout>
      <c:barChart>
        <c:barDir val="col"/>
        <c:grouping val="clustered"/>
        <c:ser>
          <c:idx val="0"/>
          <c:order val="0"/>
          <c:tx>
            <c:strRef>
              <c:f>'MCFS GRAPHS'!$A$2</c:f>
              <c:strCache>
                <c:ptCount val="1"/>
                <c:pt idx="0">
                  <c:v>RS MTH PROJECTED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GRAPHS'!$B$1:$M$1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GRAPHS'!$B$2:$M$2</c:f>
              <c:numCache>
                <c:formatCode>#,##0</c:formatCode>
                <c:ptCount val="12"/>
                <c:pt idx="0">
                  <c:v>115134</c:v>
                </c:pt>
                <c:pt idx="1">
                  <c:v>115134</c:v>
                </c:pt>
                <c:pt idx="2">
                  <c:v>143862.79999999999</c:v>
                </c:pt>
                <c:pt idx="3">
                  <c:v>369685.2</c:v>
                </c:pt>
                <c:pt idx="4">
                  <c:v>662947.6</c:v>
                </c:pt>
                <c:pt idx="5">
                  <c:v>1044745</c:v>
                </c:pt>
                <c:pt idx="6">
                  <c:v>1158294.8</c:v>
                </c:pt>
                <c:pt idx="7">
                  <c:v>972460.8</c:v>
                </c:pt>
                <c:pt idx="8">
                  <c:v>757751</c:v>
                </c:pt>
                <c:pt idx="9">
                  <c:v>410892</c:v>
                </c:pt>
                <c:pt idx="10">
                  <c:v>207471.2</c:v>
                </c:pt>
                <c:pt idx="11">
                  <c:v>117659</c:v>
                </c:pt>
              </c:numCache>
            </c:numRef>
          </c:val>
        </c:ser>
        <c:ser>
          <c:idx val="1"/>
          <c:order val="1"/>
          <c:tx>
            <c:strRef>
              <c:f>'MCFS GRAPHS'!$A$3</c:f>
              <c:strCache>
                <c:ptCount val="1"/>
                <c:pt idx="0">
                  <c:v>RS MTH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GRAPHS'!$B$1:$M$1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GRAPHS'!$B$3:$M$3</c:f>
              <c:numCache>
                <c:formatCode>#,##0</c:formatCode>
                <c:ptCount val="12"/>
                <c:pt idx="0">
                  <c:v>102094.8</c:v>
                </c:pt>
                <c:pt idx="1">
                  <c:v>125059.3</c:v>
                </c:pt>
                <c:pt idx="2">
                  <c:v>137773.9</c:v>
                </c:pt>
                <c:pt idx="3">
                  <c:v>305135.40000000002</c:v>
                </c:pt>
                <c:pt idx="4">
                  <c:v>615849.5</c:v>
                </c:pt>
                <c:pt idx="5">
                  <c:v>947556.8</c:v>
                </c:pt>
                <c:pt idx="6">
                  <c:v>1063794.5</c:v>
                </c:pt>
                <c:pt idx="7">
                  <c:v>946474.3</c:v>
                </c:pt>
                <c:pt idx="8">
                  <c:v>426964.7</c:v>
                </c:pt>
                <c:pt idx="9">
                  <c:v>296034.2</c:v>
                </c:pt>
                <c:pt idx="10">
                  <c:v>167345</c:v>
                </c:pt>
                <c:pt idx="11">
                  <c:v>126363.2</c:v>
                </c:pt>
              </c:numCache>
            </c:numRef>
          </c:val>
        </c:ser>
        <c:ser>
          <c:idx val="2"/>
          <c:order val="2"/>
          <c:tx>
            <c:strRef>
              <c:f>'MCFS GRAPHS'!$A$4</c:f>
              <c:strCache>
                <c:ptCount val="1"/>
                <c:pt idx="0">
                  <c:v>RS MTH NRMLZD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GRAPHS'!$B$1:$M$1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GRAPHS'!$B$4:$M$4</c:f>
              <c:numCache>
                <c:formatCode>#,##0</c:formatCode>
                <c:ptCount val="12"/>
                <c:pt idx="0">
                  <c:v>102094.8</c:v>
                </c:pt>
                <c:pt idx="1">
                  <c:v>125059.3</c:v>
                </c:pt>
                <c:pt idx="2">
                  <c:v>137773.9</c:v>
                </c:pt>
                <c:pt idx="3">
                  <c:v>283153.52940778341</c:v>
                </c:pt>
                <c:pt idx="4">
                  <c:v>667741.21749999991</c:v>
                </c:pt>
                <c:pt idx="5">
                  <c:v>1034400.3018033741</c:v>
                </c:pt>
                <c:pt idx="6">
                  <c:v>1099004.845888078</c:v>
                </c:pt>
                <c:pt idx="7">
                  <c:v>965882.10313725506</c:v>
                </c:pt>
                <c:pt idx="8">
                  <c:v>695268.07478540775</c:v>
                </c:pt>
                <c:pt idx="9">
                  <c:v>281894.34594594594</c:v>
                </c:pt>
                <c:pt idx="10">
                  <c:v>167345</c:v>
                </c:pt>
                <c:pt idx="11">
                  <c:v>126363.2</c:v>
                </c:pt>
              </c:numCache>
            </c:numRef>
          </c:val>
        </c:ser>
        <c:axId val="109383680"/>
        <c:axId val="109385216"/>
      </c:barChart>
      <c:dateAx>
        <c:axId val="109383680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38521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938521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2.5823758577265377E-2"/>
              <c:y val="0.44901126283267156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38368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680380871673548"/>
          <c:y val="0.94825110468786344"/>
          <c:w val="0.39893214693457058"/>
          <c:h val="3.957390610983758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CIS Monthly Sales - Actual vs Projections</a:t>
            </a:r>
          </a:p>
        </c:rich>
      </c:tx>
      <c:layout>
        <c:manualLayout>
          <c:xMode val="edge"/>
          <c:yMode val="edge"/>
          <c:x val="0.35985883331817026"/>
          <c:y val="2.679839983398852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1618098973960903E-2"/>
          <c:y val="0.11847705416149"/>
          <c:w val="0.89301580202099395"/>
          <c:h val="0.72919805954160333"/>
        </c:manualLayout>
      </c:layout>
      <c:barChart>
        <c:barDir val="col"/>
        <c:grouping val="clustered"/>
        <c:ser>
          <c:idx val="0"/>
          <c:order val="0"/>
          <c:tx>
            <c:strRef>
              <c:f>'MCFS GRAPHS'!$A$61</c:f>
              <c:strCache>
                <c:ptCount val="1"/>
                <c:pt idx="0">
                  <c:v>CIS MTH PROJECTED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GRAPHS'!$B$60:$M$60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GRAPHS'!$B$61:$M$61</c:f>
              <c:numCache>
                <c:formatCode>#,##0</c:formatCode>
                <c:ptCount val="12"/>
                <c:pt idx="0">
                  <c:v>62682</c:v>
                </c:pt>
                <c:pt idx="1">
                  <c:v>62682</c:v>
                </c:pt>
                <c:pt idx="2">
                  <c:v>65743</c:v>
                </c:pt>
                <c:pt idx="3">
                  <c:v>102564</c:v>
                </c:pt>
                <c:pt idx="4">
                  <c:v>147071</c:v>
                </c:pt>
                <c:pt idx="5">
                  <c:v>208329.5</c:v>
                </c:pt>
                <c:pt idx="6">
                  <c:v>226120</c:v>
                </c:pt>
                <c:pt idx="7">
                  <c:v>192684</c:v>
                </c:pt>
                <c:pt idx="8">
                  <c:v>163364.5</c:v>
                </c:pt>
                <c:pt idx="9">
                  <c:v>107580</c:v>
                </c:pt>
                <c:pt idx="10">
                  <c:v>77149</c:v>
                </c:pt>
                <c:pt idx="11">
                  <c:v>61637.5</c:v>
                </c:pt>
              </c:numCache>
            </c:numRef>
          </c:val>
        </c:ser>
        <c:ser>
          <c:idx val="1"/>
          <c:order val="1"/>
          <c:tx>
            <c:strRef>
              <c:f>'MCFS GRAPHS'!$A$62</c:f>
              <c:strCache>
                <c:ptCount val="1"/>
                <c:pt idx="0">
                  <c:v>CIS MTH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GRAPHS'!$B$60:$M$60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GRAPHS'!$B$62:$M$62</c:f>
              <c:numCache>
                <c:formatCode>#,##0</c:formatCode>
                <c:ptCount val="12"/>
                <c:pt idx="0">
                  <c:v>55553.9</c:v>
                </c:pt>
                <c:pt idx="1">
                  <c:v>64381.4</c:v>
                </c:pt>
                <c:pt idx="2">
                  <c:v>73763.7</c:v>
                </c:pt>
                <c:pt idx="3">
                  <c:v>105069.8</c:v>
                </c:pt>
                <c:pt idx="4">
                  <c:v>152859.6</c:v>
                </c:pt>
                <c:pt idx="5">
                  <c:v>207520.1</c:v>
                </c:pt>
                <c:pt idx="6">
                  <c:v>226153.4</c:v>
                </c:pt>
                <c:pt idx="7">
                  <c:v>199813.2</c:v>
                </c:pt>
                <c:pt idx="8">
                  <c:v>145493.5</c:v>
                </c:pt>
                <c:pt idx="9">
                  <c:v>110052.3</c:v>
                </c:pt>
                <c:pt idx="10">
                  <c:v>89413</c:v>
                </c:pt>
                <c:pt idx="11">
                  <c:v>69948.100000000006</c:v>
                </c:pt>
              </c:numCache>
            </c:numRef>
          </c:val>
        </c:ser>
        <c:ser>
          <c:idx val="2"/>
          <c:order val="2"/>
          <c:tx>
            <c:strRef>
              <c:f>'MCFS GRAPHS'!$A$63</c:f>
              <c:strCache>
                <c:ptCount val="1"/>
                <c:pt idx="0">
                  <c:v>CIS MTH NRMLZD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GRAPHS'!$B$60:$M$60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GRAPHS'!$B$63:$M$63</c:f>
              <c:numCache>
                <c:formatCode>#,##0</c:formatCode>
                <c:ptCount val="12"/>
                <c:pt idx="0">
                  <c:v>55553.9</c:v>
                </c:pt>
                <c:pt idx="1">
                  <c:v>64381.4</c:v>
                </c:pt>
                <c:pt idx="2">
                  <c:v>73763.7</c:v>
                </c:pt>
                <c:pt idx="3">
                  <c:v>100217.60805414552</c:v>
                </c:pt>
                <c:pt idx="4">
                  <c:v>162130.39300000001</c:v>
                </c:pt>
                <c:pt idx="5">
                  <c:v>222551.4515561373</c:v>
                </c:pt>
                <c:pt idx="6">
                  <c:v>232192.27431630169</c:v>
                </c:pt>
                <c:pt idx="7">
                  <c:v>202995.4792156863</c:v>
                </c:pt>
                <c:pt idx="8">
                  <c:v>216608.68186695277</c:v>
                </c:pt>
                <c:pt idx="9">
                  <c:v>106364.24864864865</c:v>
                </c:pt>
                <c:pt idx="10">
                  <c:v>73763.7</c:v>
                </c:pt>
                <c:pt idx="11">
                  <c:v>100217.60805414552</c:v>
                </c:pt>
              </c:numCache>
            </c:numRef>
          </c:val>
        </c:ser>
        <c:axId val="109337600"/>
        <c:axId val="109413504"/>
      </c:barChart>
      <c:dateAx>
        <c:axId val="1093376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1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0.50132673308979769"/>
              <c:y val="0.89704061516472189"/>
            </c:manualLayout>
          </c:layout>
          <c:spPr>
            <a:noFill/>
            <a:ln w="25400">
              <a:noFill/>
            </a:ln>
          </c:spPr>
        </c:title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413504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941350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33760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1565010295351548"/>
          <c:y val="0.95345822621370935"/>
          <c:w val="0.40406756368278784"/>
          <c:h val="3.6671470238987341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MS Monthly Sales - Actual vs Projections</a:t>
            </a:r>
          </a:p>
        </c:rich>
      </c:tx>
      <c:layout>
        <c:manualLayout>
          <c:xMode val="edge"/>
          <c:yMode val="edge"/>
          <c:x val="0.36259877329659446"/>
          <c:y val="2.718177315502805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1308165057067597E-2"/>
          <c:y val="0.12160245887325535"/>
          <c:w val="0.87093942054438034"/>
          <c:h val="0.76251894799343367"/>
        </c:manualLayout>
      </c:layout>
      <c:barChart>
        <c:barDir val="col"/>
        <c:grouping val="clustered"/>
        <c:ser>
          <c:idx val="0"/>
          <c:order val="0"/>
          <c:tx>
            <c:strRef>
              <c:f>'MCFS GRAPHS'!$A$91</c:f>
              <c:strCache>
                <c:ptCount val="1"/>
                <c:pt idx="0">
                  <c:v>MS MTH PROJECTED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GRAPHS'!$B$90:$M$90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GRAPHS'!$B$91:$M$91</c:f>
              <c:numCache>
                <c:formatCode>#,##0</c:formatCode>
                <c:ptCount val="12"/>
                <c:pt idx="0">
                  <c:v>3534</c:v>
                </c:pt>
                <c:pt idx="1">
                  <c:v>3534</c:v>
                </c:pt>
                <c:pt idx="2">
                  <c:v>4790.2</c:v>
                </c:pt>
                <c:pt idx="3">
                  <c:v>14284.800000000001</c:v>
                </c:pt>
                <c:pt idx="4">
                  <c:v>26713.399999999998</c:v>
                </c:pt>
                <c:pt idx="5">
                  <c:v>42795.5</c:v>
                </c:pt>
                <c:pt idx="6">
                  <c:v>47591.200000000004</c:v>
                </c:pt>
                <c:pt idx="7">
                  <c:v>39871.200000000004</c:v>
                </c:pt>
                <c:pt idx="8">
                  <c:v>30674.5</c:v>
                </c:pt>
                <c:pt idx="9">
                  <c:v>16068</c:v>
                </c:pt>
                <c:pt idx="10">
                  <c:v>7433.7999999999993</c:v>
                </c:pt>
                <c:pt idx="11">
                  <c:v>3683.5</c:v>
                </c:pt>
              </c:numCache>
            </c:numRef>
          </c:val>
        </c:ser>
        <c:ser>
          <c:idx val="1"/>
          <c:order val="1"/>
          <c:tx>
            <c:strRef>
              <c:f>'MCFS GRAPHS'!$A$92</c:f>
              <c:strCache>
                <c:ptCount val="1"/>
                <c:pt idx="0">
                  <c:v>MS MTH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GRAPHS'!$B$90:$M$90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GRAPHS'!$B$92:$M$92</c:f>
              <c:numCache>
                <c:formatCode>#,##0</c:formatCode>
                <c:ptCount val="12"/>
                <c:pt idx="0">
                  <c:v>3329.9</c:v>
                </c:pt>
                <c:pt idx="1">
                  <c:v>3450.7</c:v>
                </c:pt>
                <c:pt idx="2">
                  <c:v>4935.8</c:v>
                </c:pt>
                <c:pt idx="3">
                  <c:v>9878.7999999999993</c:v>
                </c:pt>
                <c:pt idx="4">
                  <c:v>25009.200000000001</c:v>
                </c:pt>
                <c:pt idx="5">
                  <c:v>36121.800000000003</c:v>
                </c:pt>
                <c:pt idx="6">
                  <c:v>48998.400000000001</c:v>
                </c:pt>
                <c:pt idx="7">
                  <c:v>40194.5</c:v>
                </c:pt>
                <c:pt idx="8">
                  <c:v>20369.5</c:v>
                </c:pt>
                <c:pt idx="9">
                  <c:v>9292.4</c:v>
                </c:pt>
                <c:pt idx="10">
                  <c:v>6576.2</c:v>
                </c:pt>
                <c:pt idx="11">
                  <c:v>4776.6000000000004</c:v>
                </c:pt>
              </c:numCache>
            </c:numRef>
          </c:val>
        </c:ser>
        <c:ser>
          <c:idx val="2"/>
          <c:order val="2"/>
          <c:tx>
            <c:strRef>
              <c:f>'MCFS GRAPHS'!$A$93</c:f>
              <c:strCache>
                <c:ptCount val="1"/>
                <c:pt idx="0">
                  <c:v>MS MTH NRMLZD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GRAPHS'!$B$90:$M$90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GRAPHS'!$B$93:$M$93</c:f>
              <c:numCache>
                <c:formatCode>#,##0</c:formatCode>
                <c:ptCount val="12"/>
                <c:pt idx="0">
                  <c:v>3329.9</c:v>
                </c:pt>
                <c:pt idx="1">
                  <c:v>3450.7</c:v>
                </c:pt>
                <c:pt idx="2">
                  <c:v>4935.8</c:v>
                </c:pt>
                <c:pt idx="3">
                  <c:v>9163.2128595600661</c:v>
                </c:pt>
                <c:pt idx="4">
                  <c:v>27225.092000000001</c:v>
                </c:pt>
                <c:pt idx="5">
                  <c:v>39509.294037230953</c:v>
                </c:pt>
                <c:pt idx="6">
                  <c:v>50683.624953771294</c:v>
                </c:pt>
                <c:pt idx="7">
                  <c:v>41048.359607843136</c:v>
                </c:pt>
                <c:pt idx="8">
                  <c:v>34837.357618025751</c:v>
                </c:pt>
                <c:pt idx="9">
                  <c:v>8855.6216216216217</c:v>
                </c:pt>
                <c:pt idx="10">
                  <c:v>4935.8</c:v>
                </c:pt>
                <c:pt idx="11">
                  <c:v>9163.2128595600661</c:v>
                </c:pt>
              </c:numCache>
            </c:numRef>
          </c:val>
        </c:ser>
        <c:axId val="109533440"/>
        <c:axId val="109543424"/>
      </c:barChart>
      <c:dateAx>
        <c:axId val="109533440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543424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954342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1.4047448312992707E-2"/>
              <c:y val="0.47925682395198382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53344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09920981362793"/>
          <c:y val="0.95136034444431439"/>
          <c:w val="0.43371378312461689"/>
          <c:h val="3.862659069547958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Monthly Sales - Actual vs Projections</a:t>
            </a:r>
          </a:p>
        </c:rich>
      </c:tx>
      <c:layout>
        <c:manualLayout>
          <c:xMode val="edge"/>
          <c:yMode val="edge"/>
          <c:x val="0.35632218724221559"/>
          <c:y val="2.687417376792917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433253924601719"/>
          <c:y val="0.11881188118811882"/>
          <c:w val="0.86030136174893757"/>
          <c:h val="0.76944837340883643"/>
        </c:manualLayout>
      </c:layout>
      <c:barChart>
        <c:barDir val="col"/>
        <c:grouping val="clustered"/>
        <c:ser>
          <c:idx val="0"/>
          <c:order val="0"/>
          <c:tx>
            <c:strRef>
              <c:f>'MCFS GRAPHS'!$A$121</c:f>
              <c:strCache>
                <c:ptCount val="1"/>
                <c:pt idx="0">
                  <c:v>PGC MTH PROJECTED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GRAPHS'!$B$120:$M$120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GRAPHS'!$B$121:$M$121</c:f>
              <c:numCache>
                <c:formatCode>#,##0</c:formatCode>
                <c:ptCount val="12"/>
                <c:pt idx="0">
                  <c:v>265639</c:v>
                </c:pt>
                <c:pt idx="1">
                  <c:v>265639</c:v>
                </c:pt>
                <c:pt idx="2">
                  <c:v>308187.3</c:v>
                </c:pt>
                <c:pt idx="3">
                  <c:v>666713.19999999995</c:v>
                </c:pt>
                <c:pt idx="4">
                  <c:v>1126064.1000000001</c:v>
                </c:pt>
                <c:pt idx="5">
                  <c:v>1730346.25</c:v>
                </c:pt>
                <c:pt idx="6">
                  <c:v>1909256.8</c:v>
                </c:pt>
                <c:pt idx="7">
                  <c:v>1608302.8</c:v>
                </c:pt>
                <c:pt idx="8">
                  <c:v>1278154.75</c:v>
                </c:pt>
                <c:pt idx="9">
                  <c:v>728922</c:v>
                </c:pt>
                <c:pt idx="10">
                  <c:v>411126.7</c:v>
                </c:pt>
                <c:pt idx="11">
                  <c:v>266900.25</c:v>
                </c:pt>
              </c:numCache>
            </c:numRef>
          </c:val>
        </c:ser>
        <c:ser>
          <c:idx val="1"/>
          <c:order val="1"/>
          <c:tx>
            <c:strRef>
              <c:f>'MCFS GRAPHS'!$A$122</c:f>
              <c:strCache>
                <c:ptCount val="1"/>
                <c:pt idx="0">
                  <c:v>PGC MTH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GRAPHS'!$B$120:$M$120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GRAPHS'!$B$122:$M$122</c:f>
              <c:numCache>
                <c:formatCode>#,##0</c:formatCode>
                <c:ptCount val="12"/>
                <c:pt idx="0">
                  <c:v>237396.3</c:v>
                </c:pt>
                <c:pt idx="1">
                  <c:v>276343.30000000005</c:v>
                </c:pt>
                <c:pt idx="2">
                  <c:v>310780.5</c:v>
                </c:pt>
                <c:pt idx="3">
                  <c:v>555374.60000000009</c:v>
                </c:pt>
                <c:pt idx="4">
                  <c:v>1041641.6</c:v>
                </c:pt>
                <c:pt idx="5">
                  <c:v>1538484.5000000002</c:v>
                </c:pt>
                <c:pt idx="6">
                  <c:v>1758792.9</c:v>
                </c:pt>
                <c:pt idx="7">
                  <c:v>1565339.9000000001</c:v>
                </c:pt>
                <c:pt idx="8">
                  <c:v>805485.6</c:v>
                </c:pt>
                <c:pt idx="9">
                  <c:v>565655.50000000012</c:v>
                </c:pt>
                <c:pt idx="10">
                  <c:v>372153.9</c:v>
                </c:pt>
                <c:pt idx="11">
                  <c:v>281724.09999999998</c:v>
                </c:pt>
              </c:numCache>
            </c:numRef>
          </c:val>
        </c:ser>
        <c:ser>
          <c:idx val="2"/>
          <c:order val="2"/>
          <c:tx>
            <c:strRef>
              <c:f>'MCFS GRAPHS'!$A$123</c:f>
              <c:strCache>
                <c:ptCount val="1"/>
                <c:pt idx="0">
                  <c:v>PGC MTH NRMLZD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GRAPHS'!$B$120:$M$120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GRAPHS'!$B$123:$M$123</c:f>
              <c:numCache>
                <c:formatCode>#,##0</c:formatCode>
                <c:ptCount val="12"/>
                <c:pt idx="0">
                  <c:v>237396.3</c:v>
                </c:pt>
                <c:pt idx="1">
                  <c:v>276343.30000000005</c:v>
                </c:pt>
                <c:pt idx="2">
                  <c:v>310780.5</c:v>
                </c:pt>
                <c:pt idx="3">
                  <c:v>521767.41333333333</c:v>
                </c:pt>
                <c:pt idx="4">
                  <c:v>1122155.7644999998</c:v>
                </c:pt>
                <c:pt idx="5">
                  <c:v>1671354.6206224549</c:v>
                </c:pt>
                <c:pt idx="6">
                  <c:v>1814251.5764768857</c:v>
                </c:pt>
                <c:pt idx="7">
                  <c:v>1595704.6027450983</c:v>
                </c:pt>
                <c:pt idx="8">
                  <c:v>1271793.2385193133</c:v>
                </c:pt>
                <c:pt idx="9">
                  <c:v>542075.86756756762</c:v>
                </c:pt>
                <c:pt idx="10">
                  <c:v>354864.2</c:v>
                </c:pt>
                <c:pt idx="11">
                  <c:v>316380.22091370553</c:v>
                </c:pt>
              </c:numCache>
            </c:numRef>
          </c:val>
        </c:ser>
        <c:axId val="109581824"/>
        <c:axId val="109583360"/>
      </c:barChart>
      <c:dateAx>
        <c:axId val="109581824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583360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958336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1.4146771279591831E-2"/>
              <c:y val="0.47666200315271001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58182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183937381828404"/>
          <c:y val="0.95332385213964665"/>
          <c:w val="0.42528772060215531"/>
          <c:h val="3.677516081415069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FS Monthly Sales - Actual vs Projections</a:t>
            </a:r>
          </a:p>
        </c:rich>
      </c:tx>
      <c:layout>
        <c:manualLayout>
          <c:xMode val="edge"/>
          <c:yMode val="edge"/>
          <c:x val="0.36177810957889617"/>
          <c:y val="2.757623622839001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7111186728460688E-2"/>
          <c:y val="0.12046444121915822"/>
          <c:w val="0.87733409490806868"/>
          <c:h val="0.76487663280120965"/>
        </c:manualLayout>
      </c:layout>
      <c:barChart>
        <c:barDir val="col"/>
        <c:grouping val="clustered"/>
        <c:ser>
          <c:idx val="0"/>
          <c:order val="0"/>
          <c:tx>
            <c:strRef>
              <c:f>'MCFS GRAPHS'!$A$151</c:f>
              <c:strCache>
                <c:ptCount val="1"/>
                <c:pt idx="0">
                  <c:v>FS MTH PROJECTED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GRAPHS'!$B$150:$M$150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GRAPHS'!$B$151:$M$151</c:f>
              <c:numCache>
                <c:formatCode>#,##0</c:formatCode>
                <c:ptCount val="12"/>
                <c:pt idx="0">
                  <c:v>2800</c:v>
                </c:pt>
                <c:pt idx="1">
                  <c:v>2000</c:v>
                </c:pt>
                <c:pt idx="2">
                  <c:v>2600</c:v>
                </c:pt>
                <c:pt idx="3">
                  <c:v>8000</c:v>
                </c:pt>
                <c:pt idx="4">
                  <c:v>17000</c:v>
                </c:pt>
                <c:pt idx="5">
                  <c:v>30000</c:v>
                </c:pt>
                <c:pt idx="6">
                  <c:v>32000</c:v>
                </c:pt>
                <c:pt idx="7">
                  <c:v>28000</c:v>
                </c:pt>
                <c:pt idx="8">
                  <c:v>20000</c:v>
                </c:pt>
                <c:pt idx="9">
                  <c:v>10000</c:v>
                </c:pt>
                <c:pt idx="10">
                  <c:v>5000</c:v>
                </c:pt>
                <c:pt idx="11">
                  <c:v>3000</c:v>
                </c:pt>
              </c:numCache>
            </c:numRef>
          </c:val>
        </c:ser>
        <c:ser>
          <c:idx val="1"/>
          <c:order val="1"/>
          <c:tx>
            <c:strRef>
              <c:f>'MCFS GRAPHS'!$A$152</c:f>
              <c:strCache>
                <c:ptCount val="1"/>
                <c:pt idx="0">
                  <c:v>FS MTH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GRAPHS'!$B$150:$M$150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GRAPHS'!$B$152:$M$152</c:f>
              <c:numCache>
                <c:formatCode>#,##0</c:formatCode>
                <c:ptCount val="12"/>
                <c:pt idx="0">
                  <c:v>13733.1</c:v>
                </c:pt>
                <c:pt idx="1">
                  <c:v>1893.8</c:v>
                </c:pt>
                <c:pt idx="2">
                  <c:v>1744.5</c:v>
                </c:pt>
                <c:pt idx="3">
                  <c:v>7648.3</c:v>
                </c:pt>
                <c:pt idx="4">
                  <c:v>15898.7</c:v>
                </c:pt>
                <c:pt idx="5">
                  <c:v>18619.7</c:v>
                </c:pt>
                <c:pt idx="6">
                  <c:v>21291.9</c:v>
                </c:pt>
                <c:pt idx="7">
                  <c:v>19317.400000000001</c:v>
                </c:pt>
                <c:pt idx="8">
                  <c:v>13507</c:v>
                </c:pt>
                <c:pt idx="9">
                  <c:v>9796.7999999999993</c:v>
                </c:pt>
                <c:pt idx="10">
                  <c:v>5959.9</c:v>
                </c:pt>
                <c:pt idx="11">
                  <c:v>2504.9</c:v>
                </c:pt>
              </c:numCache>
            </c:numRef>
          </c:val>
        </c:ser>
        <c:ser>
          <c:idx val="2"/>
          <c:order val="2"/>
          <c:tx>
            <c:strRef>
              <c:f>'MCFS GRAPHS'!$A$153</c:f>
              <c:strCache>
                <c:ptCount val="1"/>
                <c:pt idx="0">
                  <c:v>FS MTH NRMLZD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GRAPHS'!$B$150:$M$150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GRAPHS'!$B$153:$M$153</c:f>
              <c:numCache>
                <c:formatCode>#,##0</c:formatCode>
                <c:ptCount val="12"/>
                <c:pt idx="0">
                  <c:v>13733.1</c:v>
                </c:pt>
                <c:pt idx="1">
                  <c:v>1893.8</c:v>
                </c:pt>
                <c:pt idx="2">
                  <c:v>1744.5</c:v>
                </c:pt>
                <c:pt idx="3">
                  <c:v>7425.7372250423014</c:v>
                </c:pt>
                <c:pt idx="4">
                  <c:v>16960.0645</c:v>
                </c:pt>
                <c:pt idx="5">
                  <c:v>19968.672614892381</c:v>
                </c:pt>
                <c:pt idx="6">
                  <c:v>21871.223639902677</c:v>
                </c:pt>
                <c:pt idx="7">
                  <c:v>19635.680784313729</c:v>
                </c:pt>
                <c:pt idx="8">
                  <c:v>20287.94506437768</c:v>
                </c:pt>
                <c:pt idx="9">
                  <c:v>9471.9621621621627</c:v>
                </c:pt>
                <c:pt idx="10">
                  <c:v>5959.9</c:v>
                </c:pt>
                <c:pt idx="11">
                  <c:v>2504.9</c:v>
                </c:pt>
              </c:numCache>
            </c:numRef>
          </c:val>
        </c:ser>
        <c:axId val="109458176"/>
        <c:axId val="109459712"/>
      </c:barChart>
      <c:dateAx>
        <c:axId val="109458176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459712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945971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1.422224726381474E-2"/>
              <c:y val="0.47460085588848938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45817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888913930486474"/>
          <c:y val="0.95210444848240161"/>
          <c:w val="0.39288925199201019"/>
          <c:h val="3.773589387299645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LVS Monthly Sales - Actual vs Projections</a:t>
            </a:r>
          </a:p>
        </c:rich>
      </c:tx>
      <c:layout>
        <c:manualLayout>
          <c:xMode val="edge"/>
          <c:yMode val="edge"/>
          <c:x val="0.35656866632680112"/>
          <c:y val="2.649938656365641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2386122153329124E-2"/>
          <c:y val="0.11715497128194646"/>
          <c:w val="0.8918685173953077"/>
          <c:h val="0.73779737866846729"/>
        </c:manualLayout>
      </c:layout>
      <c:barChart>
        <c:barDir val="col"/>
        <c:grouping val="clustered"/>
        <c:ser>
          <c:idx val="0"/>
          <c:order val="0"/>
          <c:tx>
            <c:strRef>
              <c:f>'MCFS GRAPHS'!$A$181</c:f>
              <c:strCache>
                <c:ptCount val="1"/>
                <c:pt idx="0">
                  <c:v>LVS MTH PROJECTED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GRAPHS'!$B$180:$M$180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GRAPHS'!$C$181:$M$181</c:f>
              <c:numCache>
                <c:formatCode>#,##0</c:formatCode>
                <c:ptCount val="11"/>
                <c:pt idx="0">
                  <c:v>230000</c:v>
                </c:pt>
                <c:pt idx="1">
                  <c:v>245000</c:v>
                </c:pt>
                <c:pt idx="2">
                  <c:v>260000</c:v>
                </c:pt>
                <c:pt idx="3">
                  <c:v>310000</c:v>
                </c:pt>
                <c:pt idx="4">
                  <c:v>390000</c:v>
                </c:pt>
                <c:pt idx="5">
                  <c:v>410000</c:v>
                </c:pt>
                <c:pt idx="6">
                  <c:v>330000</c:v>
                </c:pt>
                <c:pt idx="7">
                  <c:v>300000</c:v>
                </c:pt>
                <c:pt idx="8">
                  <c:v>290000</c:v>
                </c:pt>
                <c:pt idx="9">
                  <c:v>230000</c:v>
                </c:pt>
                <c:pt idx="10">
                  <c:v>240000</c:v>
                </c:pt>
              </c:numCache>
            </c:numRef>
          </c:val>
        </c:ser>
        <c:ser>
          <c:idx val="1"/>
          <c:order val="1"/>
          <c:tx>
            <c:strRef>
              <c:f>'MCFS GRAPHS'!$A$182</c:f>
              <c:strCache>
                <c:ptCount val="1"/>
                <c:pt idx="0">
                  <c:v>LVS MTH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GRAPHS'!$B$180:$M$180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GRAPHS'!$C$182:$M$182</c:f>
              <c:numCache>
                <c:formatCode>#,##0</c:formatCode>
                <c:ptCount val="11"/>
                <c:pt idx="0">
                  <c:v>236809.9</c:v>
                </c:pt>
                <c:pt idx="1">
                  <c:v>253006.5</c:v>
                </c:pt>
                <c:pt idx="2">
                  <c:v>266568.8</c:v>
                </c:pt>
                <c:pt idx="3">
                  <c:v>313472.5</c:v>
                </c:pt>
                <c:pt idx="4">
                  <c:v>337786.9</c:v>
                </c:pt>
                <c:pt idx="5">
                  <c:v>349383.2</c:v>
                </c:pt>
                <c:pt idx="6">
                  <c:v>331778.8</c:v>
                </c:pt>
                <c:pt idx="7">
                  <c:v>285117.7</c:v>
                </c:pt>
                <c:pt idx="8">
                  <c:v>258913.3</c:v>
                </c:pt>
                <c:pt idx="9">
                  <c:v>240207.4</c:v>
                </c:pt>
                <c:pt idx="10">
                  <c:v>225741.4</c:v>
                </c:pt>
              </c:numCache>
            </c:numRef>
          </c:val>
        </c:ser>
        <c:ser>
          <c:idx val="2"/>
          <c:order val="2"/>
          <c:tx>
            <c:strRef>
              <c:f>'MCFS GRAPHS'!$A$183</c:f>
              <c:strCache>
                <c:ptCount val="1"/>
                <c:pt idx="0">
                  <c:v>LVS MTH NRMLZD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GRAPHS'!$B$180:$M$180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GRAPHS'!$C$183:$M$183</c:f>
              <c:numCache>
                <c:formatCode>#,##0</c:formatCode>
                <c:ptCount val="11"/>
                <c:pt idx="0">
                  <c:v>236809.9</c:v>
                </c:pt>
                <c:pt idx="1">
                  <c:v>253006.5</c:v>
                </c:pt>
                <c:pt idx="2">
                  <c:v>262255.85807106597</c:v>
                </c:pt>
                <c:pt idx="3">
                  <c:v>322177.609</c:v>
                </c:pt>
                <c:pt idx="4">
                  <c:v>349060.92626527051</c:v>
                </c:pt>
                <c:pt idx="5">
                  <c:v>353823.64145985403</c:v>
                </c:pt>
                <c:pt idx="6">
                  <c:v>334160.26117647055</c:v>
                </c:pt>
                <c:pt idx="7">
                  <c:v>333054.68390557944</c:v>
                </c:pt>
                <c:pt idx="8">
                  <c:v>256614.92702702701</c:v>
                </c:pt>
                <c:pt idx="9">
                  <c:v>240207.4</c:v>
                </c:pt>
                <c:pt idx="10">
                  <c:v>225741.4</c:v>
                </c:pt>
              </c:numCache>
            </c:numRef>
          </c:val>
        </c:ser>
        <c:axId val="109490176"/>
        <c:axId val="109492096"/>
      </c:barChart>
      <c:dateAx>
        <c:axId val="1094901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0.50134094299363652"/>
              <c:y val="0.90376699294643159"/>
            </c:manualLayout>
          </c:layout>
          <c:spPr>
            <a:noFill/>
            <a:ln w="25400">
              <a:noFill/>
            </a:ln>
          </c:spPr>
        </c:title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49209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949209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49017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1009856681587278"/>
          <c:y val="0.95397624500989475"/>
          <c:w val="0.41644356955382322"/>
          <c:h val="3.626225448302525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Non-PGC Monthly Sales - Actual vs Projections</a:t>
            </a:r>
          </a:p>
        </c:rich>
      </c:tx>
      <c:layout>
        <c:manualLayout>
          <c:xMode val="edge"/>
          <c:yMode val="edge"/>
          <c:x val="0.33782603123981547"/>
          <c:y val="2.635231027776209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5238178801468093E-2"/>
          <c:y val="0.11650516997109622"/>
          <c:w val="0.8688237632171667"/>
          <c:h val="0.77392720052231678"/>
        </c:manualLayout>
      </c:layout>
      <c:barChart>
        <c:barDir val="col"/>
        <c:grouping val="clustered"/>
        <c:ser>
          <c:idx val="0"/>
          <c:order val="0"/>
          <c:tx>
            <c:strRef>
              <c:f>'MCFS GRAPHS'!$A$211</c:f>
              <c:strCache>
                <c:ptCount val="1"/>
                <c:pt idx="0">
                  <c:v>NON-PGC MTH PROJECTED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GRAPHS'!$B$180:$M$180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GRAPHS'!$B$211:$M$211</c:f>
              <c:numCache>
                <c:formatCode>#,##0</c:formatCode>
                <c:ptCount val="12"/>
                <c:pt idx="0">
                  <c:v>224000</c:v>
                </c:pt>
                <c:pt idx="1">
                  <c:v>233200</c:v>
                </c:pt>
                <c:pt idx="2">
                  <c:v>248800</c:v>
                </c:pt>
                <c:pt idx="3">
                  <c:v>269200</c:v>
                </c:pt>
                <c:pt idx="4">
                  <c:v>328200</c:v>
                </c:pt>
                <c:pt idx="5">
                  <c:v>421200</c:v>
                </c:pt>
                <c:pt idx="6">
                  <c:v>443200</c:v>
                </c:pt>
                <c:pt idx="7">
                  <c:v>359200</c:v>
                </c:pt>
                <c:pt idx="8">
                  <c:v>321200</c:v>
                </c:pt>
                <c:pt idx="9">
                  <c:v>301200</c:v>
                </c:pt>
                <c:pt idx="10">
                  <c:v>236200</c:v>
                </c:pt>
                <c:pt idx="11">
                  <c:v>244200</c:v>
                </c:pt>
              </c:numCache>
            </c:numRef>
          </c:val>
        </c:ser>
        <c:ser>
          <c:idx val="1"/>
          <c:order val="1"/>
          <c:tx>
            <c:strRef>
              <c:f>'MCFS GRAPHS'!$A$212</c:f>
              <c:strCache>
                <c:ptCount val="1"/>
                <c:pt idx="0">
                  <c:v>NON-PGC MTH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GRAPHS'!$B$180:$M$180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GRAPHS'!$B$212:$M$212</c:f>
              <c:numCache>
                <c:formatCode>#,##0</c:formatCode>
                <c:ptCount val="12"/>
                <c:pt idx="0">
                  <c:v>216811.1</c:v>
                </c:pt>
                <c:pt idx="1">
                  <c:v>240336.4</c:v>
                </c:pt>
                <c:pt idx="2">
                  <c:v>255779.8</c:v>
                </c:pt>
                <c:pt idx="3">
                  <c:v>275439.8</c:v>
                </c:pt>
                <c:pt idx="4">
                  <c:v>330773.90000000002</c:v>
                </c:pt>
                <c:pt idx="5">
                  <c:v>357854.10000000003</c:v>
                </c:pt>
                <c:pt idx="6">
                  <c:v>372037</c:v>
                </c:pt>
                <c:pt idx="7">
                  <c:v>352315.7</c:v>
                </c:pt>
                <c:pt idx="8">
                  <c:v>299981</c:v>
                </c:pt>
                <c:pt idx="9">
                  <c:v>269909.3</c:v>
                </c:pt>
                <c:pt idx="10">
                  <c:v>247803</c:v>
                </c:pt>
                <c:pt idx="11">
                  <c:v>229430.5</c:v>
                </c:pt>
              </c:numCache>
            </c:numRef>
          </c:val>
        </c:ser>
        <c:ser>
          <c:idx val="2"/>
          <c:order val="2"/>
          <c:tx>
            <c:strRef>
              <c:f>'MCFS GRAPHS'!$A$213</c:f>
              <c:strCache>
                <c:ptCount val="1"/>
                <c:pt idx="0">
                  <c:v>NON-PGC MTH NRMLZD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GRAPHS'!$B$180:$M$180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GRAPHS'!$B$213:$M$213</c:f>
              <c:numCache>
                <c:formatCode>#,##0</c:formatCode>
                <c:ptCount val="12"/>
                <c:pt idx="0">
                  <c:v>216811.1</c:v>
                </c:pt>
                <c:pt idx="1">
                  <c:v>240336.4</c:v>
                </c:pt>
                <c:pt idx="2">
                  <c:v>254751</c:v>
                </c:pt>
                <c:pt idx="3">
                  <c:v>269681.59529610828</c:v>
                </c:pt>
                <c:pt idx="4">
                  <c:v>339137.67349999998</c:v>
                </c:pt>
                <c:pt idx="5">
                  <c:v>369029.59888016287</c:v>
                </c:pt>
                <c:pt idx="6">
                  <c:v>375694.86509975669</c:v>
                </c:pt>
                <c:pt idx="7">
                  <c:v>353795.94196078426</c:v>
                </c:pt>
                <c:pt idx="8">
                  <c:v>353342.62896995712</c:v>
                </c:pt>
                <c:pt idx="9">
                  <c:v>266086.88918918918</c:v>
                </c:pt>
                <c:pt idx="10">
                  <c:v>246167.3</c:v>
                </c:pt>
                <c:pt idx="11">
                  <c:v>228246.3</c:v>
                </c:pt>
              </c:numCache>
            </c:numRef>
          </c:val>
        </c:ser>
        <c:axId val="109689856"/>
        <c:axId val="109695744"/>
      </c:barChart>
      <c:dateAx>
        <c:axId val="109689856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695744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969574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1.4375608112277104E-2"/>
              <c:y val="0.47711641080836131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68985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6325269467898793"/>
          <c:y val="0.9542328216167224"/>
          <c:w val="0.5318962661312906"/>
          <c:h val="3.606110387280728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YTD Sales - Actual vs Projected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09857024"/>
        <c:axId val="109867008"/>
      </c:barChart>
      <c:catAx>
        <c:axId val="1098570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867008"/>
        <c:crosses val="autoZero"/>
        <c:auto val="1"/>
        <c:lblAlgn val="ctr"/>
        <c:lblOffset val="100"/>
        <c:tickLblSkip val="1"/>
        <c:tickMarkSkip val="1"/>
      </c:catAx>
      <c:valAx>
        <c:axId val="10986700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85702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RS YTD Sales - Acual vs Projected  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09929984"/>
        <c:axId val="109931520"/>
      </c:barChart>
      <c:catAx>
        <c:axId val="1099299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931520"/>
        <c:crosses val="autoZero"/>
        <c:auto val="1"/>
        <c:lblAlgn val="ctr"/>
        <c:lblOffset val="100"/>
        <c:tickLblSkip val="1"/>
        <c:tickMarkSkip val="1"/>
      </c:catAx>
      <c:valAx>
        <c:axId val="10993152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92998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GS YTD Sales - Actual vs Projected  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09974272"/>
        <c:axId val="109975808"/>
      </c:barChart>
      <c:catAx>
        <c:axId val="1099742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975808"/>
        <c:crosses val="autoZero"/>
        <c:auto val="1"/>
        <c:lblAlgn val="ctr"/>
        <c:lblOffset val="100"/>
        <c:tickLblSkip val="1"/>
        <c:tickMarkSkip val="1"/>
      </c:catAx>
      <c:valAx>
        <c:axId val="10997580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97427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CIS YTD Sales - Actual vs Projected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10030848"/>
        <c:axId val="110032384"/>
      </c:barChart>
      <c:catAx>
        <c:axId val="1100308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032384"/>
        <c:crosses val="autoZero"/>
        <c:auto val="1"/>
        <c:lblAlgn val="ctr"/>
        <c:lblOffset val="100"/>
        <c:tickLblSkip val="1"/>
        <c:tickMarkSkip val="1"/>
      </c:catAx>
      <c:valAx>
        <c:axId val="11003238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03084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MS YTD Sales - Actual vs Projected 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09730816"/>
        <c:axId val="109753088"/>
      </c:barChart>
      <c:catAx>
        <c:axId val="1097308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753088"/>
        <c:crosses val="autoZero"/>
        <c:auto val="1"/>
        <c:lblAlgn val="ctr"/>
        <c:lblOffset val="100"/>
        <c:tickLblSkip val="1"/>
        <c:tickMarkSkip val="1"/>
      </c:catAx>
      <c:valAx>
        <c:axId val="10975308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73081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FS YTD Sales - Actual vs Projected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10172416"/>
        <c:axId val="110178304"/>
      </c:barChart>
      <c:catAx>
        <c:axId val="1101724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178304"/>
        <c:crosses val="autoZero"/>
        <c:auto val="1"/>
        <c:lblAlgn val="ctr"/>
        <c:lblOffset val="100"/>
        <c:tickLblSkip val="1"/>
        <c:tickMarkSkip val="1"/>
      </c:catAx>
      <c:valAx>
        <c:axId val="11017830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17241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LVS YTD Sales - Actual vs Projected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10228992"/>
        <c:axId val="110230528"/>
      </c:barChart>
      <c:catAx>
        <c:axId val="1102289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230528"/>
        <c:crosses val="autoZero"/>
        <c:auto val="1"/>
        <c:lblAlgn val="ctr"/>
        <c:lblOffset val="100"/>
        <c:tickLblSkip val="1"/>
        <c:tickMarkSkip val="1"/>
      </c:catAx>
      <c:valAx>
        <c:axId val="11023052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22899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Non-PGC YTD Sales - Actual vs Projected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10232320"/>
        <c:axId val="110233856"/>
      </c:barChart>
      <c:catAx>
        <c:axId val="1102323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233856"/>
        <c:crosses val="autoZero"/>
        <c:auto val="1"/>
        <c:lblAlgn val="ctr"/>
        <c:lblOffset val="100"/>
        <c:tickLblSkip val="1"/>
        <c:tickMarkSkip val="1"/>
      </c:catAx>
      <c:valAx>
        <c:axId val="11023385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23232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/>
  </c:printSettings>
  <c:userShapes r:id="rId1"/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Total YTD Sales - Actual vs Projected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10272512"/>
        <c:axId val="110274048"/>
      </c:barChart>
      <c:catAx>
        <c:axId val="1102725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274048"/>
        <c:crosses val="autoZero"/>
        <c:auto val="1"/>
        <c:lblAlgn val="ctr"/>
        <c:lblOffset val="100"/>
        <c:tickLblSkip val="1"/>
        <c:tickMarkSkip val="1"/>
      </c:catAx>
      <c:valAx>
        <c:axId val="11027404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27251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Total Monthly Sales - Actual vs Projections</a:t>
            </a:r>
          </a:p>
        </c:rich>
      </c:tx>
      <c:layout>
        <c:manualLayout>
          <c:xMode val="edge"/>
          <c:yMode val="edge"/>
          <c:x val="0.35230379384397803"/>
          <c:y val="2.606306690296191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659449331182012"/>
          <c:y val="0.11659823575509549"/>
          <c:w val="0.8572726623128587"/>
          <c:h val="0.77503533178390005"/>
        </c:manualLayout>
      </c:layout>
      <c:barChart>
        <c:barDir val="col"/>
        <c:grouping val="clustered"/>
        <c:ser>
          <c:idx val="0"/>
          <c:order val="0"/>
          <c:tx>
            <c:strRef>
              <c:f>'MCFS GRAPHS'!$A$241</c:f>
              <c:strCache>
                <c:ptCount val="1"/>
                <c:pt idx="0">
                  <c:v>TOTAL MTH PROJECTED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GRAPHS'!$B$240:$M$240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GRAPHS'!$B$241:$M$241</c:f>
              <c:numCache>
                <c:formatCode>#,##0</c:formatCode>
                <c:ptCount val="12"/>
                <c:pt idx="0">
                  <c:v>489639</c:v>
                </c:pt>
                <c:pt idx="1">
                  <c:v>498839</c:v>
                </c:pt>
                <c:pt idx="2">
                  <c:v>556987.30000000005</c:v>
                </c:pt>
                <c:pt idx="3">
                  <c:v>935913.2</c:v>
                </c:pt>
                <c:pt idx="4">
                  <c:v>1454264.1</c:v>
                </c:pt>
                <c:pt idx="5">
                  <c:v>2151546.25</c:v>
                </c:pt>
                <c:pt idx="6">
                  <c:v>2352456.7999999998</c:v>
                </c:pt>
                <c:pt idx="7">
                  <c:v>1967502.8</c:v>
                </c:pt>
                <c:pt idx="8">
                  <c:v>1599354.75</c:v>
                </c:pt>
                <c:pt idx="9">
                  <c:v>1030122</c:v>
                </c:pt>
                <c:pt idx="10">
                  <c:v>647326.69999999995</c:v>
                </c:pt>
                <c:pt idx="11">
                  <c:v>511100.25</c:v>
                </c:pt>
              </c:numCache>
            </c:numRef>
          </c:val>
        </c:ser>
        <c:ser>
          <c:idx val="1"/>
          <c:order val="1"/>
          <c:tx>
            <c:strRef>
              <c:f>'MCFS GRAPHS'!$A$242</c:f>
              <c:strCache>
                <c:ptCount val="1"/>
                <c:pt idx="0">
                  <c:v>TOTAL MTH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GRAPHS'!$B$240:$M$240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GRAPHS'!$B$242:$M$242</c:f>
              <c:numCache>
                <c:formatCode>#,##0</c:formatCode>
                <c:ptCount val="12"/>
                <c:pt idx="0">
                  <c:v>454207.4</c:v>
                </c:pt>
                <c:pt idx="1">
                  <c:v>516679.70000000007</c:v>
                </c:pt>
                <c:pt idx="2">
                  <c:v>566560.30000000005</c:v>
                </c:pt>
                <c:pt idx="3">
                  <c:v>830814.40000000014</c:v>
                </c:pt>
                <c:pt idx="4">
                  <c:v>1372415.5</c:v>
                </c:pt>
                <c:pt idx="5">
                  <c:v>1896338.6000000003</c:v>
                </c:pt>
                <c:pt idx="6">
                  <c:v>2130829.9</c:v>
                </c:pt>
                <c:pt idx="7">
                  <c:v>1917655.6</c:v>
                </c:pt>
                <c:pt idx="8">
                  <c:v>1105466.6000000001</c:v>
                </c:pt>
                <c:pt idx="9">
                  <c:v>835564.8</c:v>
                </c:pt>
                <c:pt idx="10">
                  <c:v>619956.9</c:v>
                </c:pt>
                <c:pt idx="11">
                  <c:v>511154.6</c:v>
                </c:pt>
              </c:numCache>
            </c:numRef>
          </c:val>
        </c:ser>
        <c:ser>
          <c:idx val="2"/>
          <c:order val="2"/>
          <c:tx>
            <c:strRef>
              <c:f>'MCFS GRAPHS'!$A$243</c:f>
              <c:strCache>
                <c:ptCount val="1"/>
                <c:pt idx="0">
                  <c:v>TOTAL MTH NRMLZD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GRAPHS'!$B$240:$M$240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GRAPHS'!$B$243:$M$243</c:f>
              <c:numCache>
                <c:formatCode>#,##0</c:formatCode>
                <c:ptCount val="12"/>
                <c:pt idx="0">
                  <c:v>454207.4</c:v>
                </c:pt>
                <c:pt idx="1">
                  <c:v>516679.70000000007</c:v>
                </c:pt>
                <c:pt idx="2">
                  <c:v>565531.5</c:v>
                </c:pt>
                <c:pt idx="3">
                  <c:v>791449.00862944161</c:v>
                </c:pt>
                <c:pt idx="4">
                  <c:v>1461293.4379999998</c:v>
                </c:pt>
                <c:pt idx="5">
                  <c:v>2040384.2195026178</c:v>
                </c:pt>
                <c:pt idx="6">
                  <c:v>2189946.4415766424</c:v>
                </c:pt>
                <c:pt idx="7">
                  <c:v>1949500.5447058827</c:v>
                </c:pt>
                <c:pt idx="8">
                  <c:v>1625135.8674892704</c:v>
                </c:pt>
                <c:pt idx="9">
                  <c:v>808162.7567567568</c:v>
                </c:pt>
                <c:pt idx="10">
                  <c:v>601031.5</c:v>
                </c:pt>
                <c:pt idx="11">
                  <c:v>544626.52091370546</c:v>
                </c:pt>
              </c:numCache>
            </c:numRef>
          </c:val>
        </c:ser>
        <c:axId val="110324736"/>
        <c:axId val="110338816"/>
      </c:barChart>
      <c:dateAx>
        <c:axId val="110324736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33881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1033881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1.4453447864471478E-2"/>
              <c:y val="0.47736695306251764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32473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9719990455738476"/>
          <c:y val="0.95473375657103265"/>
          <c:w val="0.47515848246241948"/>
          <c:h val="3.566532815876645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Actual vs Projected Cumulative Sales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10446848"/>
        <c:axId val="110456832"/>
      </c:barChart>
      <c:catAx>
        <c:axId val="1104468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456832"/>
        <c:crosses val="autoZero"/>
        <c:auto val="1"/>
        <c:lblAlgn val="ctr"/>
        <c:lblOffset val="100"/>
        <c:tickLblSkip val="1"/>
        <c:tickMarkSkip val="1"/>
      </c:catAx>
      <c:valAx>
        <c:axId val="11045683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44684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RS Actual vs Projected Cumulative Sales 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10511616"/>
        <c:axId val="110513152"/>
      </c:barChart>
      <c:catAx>
        <c:axId val="1105116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513152"/>
        <c:crosses val="autoZero"/>
        <c:auto val="1"/>
        <c:lblAlgn val="ctr"/>
        <c:lblOffset val="100"/>
        <c:tickLblSkip val="1"/>
        <c:tickMarkSkip val="1"/>
      </c:catAx>
      <c:valAx>
        <c:axId val="11051315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51161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GS Actual vs Projected Cumulative Sales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10539520"/>
        <c:axId val="110541056"/>
      </c:barChart>
      <c:catAx>
        <c:axId val="1105395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541056"/>
        <c:crosses val="autoZero"/>
        <c:auto val="1"/>
        <c:lblAlgn val="ctr"/>
        <c:lblOffset val="100"/>
        <c:tickLblSkip val="1"/>
        <c:tickMarkSkip val="1"/>
      </c:catAx>
      <c:valAx>
        <c:axId val="11054105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53952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CIS Actual vs Projected Cumulative Sales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10403584"/>
        <c:axId val="110405120"/>
      </c:barChart>
      <c:catAx>
        <c:axId val="1104035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405120"/>
        <c:crosses val="autoZero"/>
        <c:auto val="1"/>
        <c:lblAlgn val="ctr"/>
        <c:lblOffset val="100"/>
        <c:tickLblSkip val="1"/>
        <c:tickMarkSkip val="1"/>
      </c:catAx>
      <c:valAx>
        <c:axId val="11040512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40358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CIS Actual vs Projected Cumulative Sales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10627840"/>
        <c:axId val="110658304"/>
      </c:barChart>
      <c:catAx>
        <c:axId val="1106278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658304"/>
        <c:crosses val="autoZero"/>
        <c:auto val="1"/>
        <c:lblAlgn val="ctr"/>
        <c:lblOffset val="100"/>
        <c:tickLblSkip val="1"/>
        <c:tickMarkSkip val="1"/>
      </c:catAx>
      <c:valAx>
        <c:axId val="11065830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62784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FS Actual vs Projected Cumulative Sales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10688512"/>
        <c:axId val="110559232"/>
      </c:barChart>
      <c:catAx>
        <c:axId val="1106885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559232"/>
        <c:crosses val="autoZero"/>
        <c:auto val="1"/>
        <c:lblAlgn val="ctr"/>
        <c:lblOffset val="100"/>
        <c:tickLblSkip val="1"/>
        <c:tickMarkSkip val="1"/>
      </c:catAx>
      <c:valAx>
        <c:axId val="11055923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68851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LVS Actual vs Projected Cumulative Sales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10605824"/>
        <c:axId val="110607360"/>
      </c:barChart>
      <c:catAx>
        <c:axId val="1106058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607360"/>
        <c:crosses val="autoZero"/>
        <c:auto val="1"/>
        <c:lblAlgn val="ctr"/>
        <c:lblOffset val="100"/>
        <c:tickLblSkip val="1"/>
        <c:tickMarkSkip val="1"/>
      </c:catAx>
      <c:valAx>
        <c:axId val="11060736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60582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Non-PGC Actual vs Projected Cumulative Sales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10727936"/>
        <c:axId val="110729472"/>
      </c:barChart>
      <c:catAx>
        <c:axId val="1107279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729472"/>
        <c:crosses val="autoZero"/>
        <c:auto val="1"/>
        <c:lblAlgn val="ctr"/>
        <c:lblOffset val="100"/>
        <c:tickLblSkip val="1"/>
        <c:tickMarkSkip val="1"/>
      </c:catAx>
      <c:valAx>
        <c:axId val="11072947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72793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Total Actual vs Projected Cumulative Sales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'MCFS GRAPHS'!#REF!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'MCFS GRAPHS'!#REF!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110850048"/>
        <c:axId val="110851584"/>
      </c:barChart>
      <c:catAx>
        <c:axId val="1108500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851584"/>
        <c:crosses val="autoZero"/>
        <c:auto val="1"/>
        <c:lblAlgn val="ctr"/>
        <c:lblOffset val="100"/>
        <c:tickLblSkip val="1"/>
        <c:tickMarkSkip val="1"/>
      </c:catAx>
      <c:valAx>
        <c:axId val="11085158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85004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Monthly Sales Projections by Rate</a:t>
            </a:r>
          </a:p>
        </c:rich>
      </c:tx>
      <c:layout>
        <c:manualLayout>
          <c:xMode val="edge"/>
          <c:yMode val="edge"/>
          <c:x val="0.37765496785024349"/>
          <c:y val="2.772977702111785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9723081612023923E-2"/>
          <c:y val="0.13518243332441959"/>
          <c:w val="0.86611343103776317"/>
          <c:h val="0.73830405892567663"/>
        </c:manualLayout>
      </c:layout>
      <c:barChart>
        <c:barDir val="col"/>
        <c:grouping val="stacked"/>
        <c:ser>
          <c:idx val="0"/>
          <c:order val="0"/>
          <c:tx>
            <c:strRef>
              <c:f>'MCFS GRAPHS'!$A$276</c:f>
              <c:strCache>
                <c:ptCount val="1"/>
                <c:pt idx="0">
                  <c:v>RS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GRAPHS'!$B$275:$M$275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GRAPHS'!$B$276:$M$276</c:f>
              <c:numCache>
                <c:formatCode>#,##0</c:formatCode>
                <c:ptCount val="12"/>
                <c:pt idx="0">
                  <c:v>115134</c:v>
                </c:pt>
                <c:pt idx="1">
                  <c:v>115134</c:v>
                </c:pt>
                <c:pt idx="2">
                  <c:v>143862.79999999999</c:v>
                </c:pt>
                <c:pt idx="3">
                  <c:v>369685.2</c:v>
                </c:pt>
                <c:pt idx="4">
                  <c:v>662947.6</c:v>
                </c:pt>
                <c:pt idx="5">
                  <c:v>1044745</c:v>
                </c:pt>
                <c:pt idx="6">
                  <c:v>1158294.8</c:v>
                </c:pt>
                <c:pt idx="7">
                  <c:v>972460.8</c:v>
                </c:pt>
                <c:pt idx="8">
                  <c:v>757751</c:v>
                </c:pt>
                <c:pt idx="9">
                  <c:v>410892</c:v>
                </c:pt>
                <c:pt idx="10">
                  <c:v>207471.2</c:v>
                </c:pt>
                <c:pt idx="11">
                  <c:v>117659</c:v>
                </c:pt>
              </c:numCache>
            </c:numRef>
          </c:val>
        </c:ser>
        <c:ser>
          <c:idx val="1"/>
          <c:order val="1"/>
          <c:tx>
            <c:strRef>
              <c:f>'MCFS GRAPHS'!$A$277</c:f>
              <c:strCache>
                <c:ptCount val="1"/>
                <c:pt idx="0">
                  <c:v>GS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GRAPHS'!$B$275:$M$275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GRAPHS'!$B$277:$M$277</c:f>
              <c:numCache>
                <c:formatCode>#,##0</c:formatCode>
                <c:ptCount val="12"/>
                <c:pt idx="0">
                  <c:v>84289</c:v>
                </c:pt>
                <c:pt idx="1">
                  <c:v>84289</c:v>
                </c:pt>
                <c:pt idx="2">
                  <c:v>93791.3</c:v>
                </c:pt>
                <c:pt idx="3">
                  <c:v>180179.20000000001</c:v>
                </c:pt>
                <c:pt idx="4">
                  <c:v>289332.09999999998</c:v>
                </c:pt>
                <c:pt idx="5">
                  <c:v>434476.25</c:v>
                </c:pt>
                <c:pt idx="6">
                  <c:v>477250.8</c:v>
                </c:pt>
                <c:pt idx="7">
                  <c:v>403286.8</c:v>
                </c:pt>
                <c:pt idx="8">
                  <c:v>326364.75</c:v>
                </c:pt>
                <c:pt idx="9">
                  <c:v>194382</c:v>
                </c:pt>
                <c:pt idx="10">
                  <c:v>119072.7</c:v>
                </c:pt>
                <c:pt idx="11">
                  <c:v>83920.25</c:v>
                </c:pt>
              </c:numCache>
            </c:numRef>
          </c:val>
        </c:ser>
        <c:ser>
          <c:idx val="2"/>
          <c:order val="2"/>
          <c:tx>
            <c:strRef>
              <c:f>'MCFS GRAPHS'!$A$278</c:f>
              <c:strCache>
                <c:ptCount val="1"/>
                <c:pt idx="0">
                  <c:v>CIS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GRAPHS'!$B$275:$M$275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GRAPHS'!$B$278:$M$278</c:f>
              <c:numCache>
                <c:formatCode>#,##0</c:formatCode>
                <c:ptCount val="12"/>
                <c:pt idx="0">
                  <c:v>62682</c:v>
                </c:pt>
                <c:pt idx="1">
                  <c:v>62682</c:v>
                </c:pt>
                <c:pt idx="2">
                  <c:v>65743</c:v>
                </c:pt>
                <c:pt idx="3">
                  <c:v>102564</c:v>
                </c:pt>
                <c:pt idx="4">
                  <c:v>147071</c:v>
                </c:pt>
                <c:pt idx="5">
                  <c:v>208329.5</c:v>
                </c:pt>
                <c:pt idx="6">
                  <c:v>226120</c:v>
                </c:pt>
                <c:pt idx="7">
                  <c:v>192684</c:v>
                </c:pt>
                <c:pt idx="8">
                  <c:v>163364.5</c:v>
                </c:pt>
                <c:pt idx="9">
                  <c:v>107580</c:v>
                </c:pt>
                <c:pt idx="10">
                  <c:v>77149</c:v>
                </c:pt>
                <c:pt idx="11">
                  <c:v>61637.5</c:v>
                </c:pt>
              </c:numCache>
            </c:numRef>
          </c:val>
        </c:ser>
        <c:ser>
          <c:idx val="3"/>
          <c:order val="3"/>
          <c:tx>
            <c:strRef>
              <c:f>'MCFS GRAPHS'!$A$279</c:f>
              <c:strCache>
                <c:ptCount val="1"/>
                <c:pt idx="0">
                  <c:v>MS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GRAPHS'!$B$275:$M$275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GRAPHS'!$B$279:$M$279</c:f>
              <c:numCache>
                <c:formatCode>#,##0</c:formatCode>
                <c:ptCount val="12"/>
                <c:pt idx="0">
                  <c:v>3534</c:v>
                </c:pt>
                <c:pt idx="1">
                  <c:v>3534</c:v>
                </c:pt>
                <c:pt idx="2">
                  <c:v>4790.2</c:v>
                </c:pt>
                <c:pt idx="3">
                  <c:v>14284.800000000001</c:v>
                </c:pt>
                <c:pt idx="4">
                  <c:v>26713.399999999998</c:v>
                </c:pt>
                <c:pt idx="5">
                  <c:v>42795.5</c:v>
                </c:pt>
                <c:pt idx="6">
                  <c:v>47591.200000000004</c:v>
                </c:pt>
                <c:pt idx="7">
                  <c:v>39871.200000000004</c:v>
                </c:pt>
                <c:pt idx="8">
                  <c:v>30674.5</c:v>
                </c:pt>
                <c:pt idx="9">
                  <c:v>16068</c:v>
                </c:pt>
                <c:pt idx="10">
                  <c:v>7433.7999999999993</c:v>
                </c:pt>
                <c:pt idx="11">
                  <c:v>3683.5</c:v>
                </c:pt>
              </c:numCache>
            </c:numRef>
          </c:val>
        </c:ser>
        <c:ser>
          <c:idx val="4"/>
          <c:order val="4"/>
          <c:tx>
            <c:strRef>
              <c:f>'MCFS GRAPHS'!$A$280</c:f>
              <c:strCache>
                <c:ptCount val="1"/>
                <c:pt idx="0">
                  <c:v>FS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GRAPHS'!$B$275:$M$275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GRAPHS'!$B$280:$M$280</c:f>
              <c:numCache>
                <c:formatCode>#,##0</c:formatCode>
                <c:ptCount val="12"/>
                <c:pt idx="0">
                  <c:v>2800</c:v>
                </c:pt>
                <c:pt idx="1">
                  <c:v>2000</c:v>
                </c:pt>
                <c:pt idx="2">
                  <c:v>2600</c:v>
                </c:pt>
                <c:pt idx="3">
                  <c:v>8000</c:v>
                </c:pt>
                <c:pt idx="4">
                  <c:v>17000</c:v>
                </c:pt>
                <c:pt idx="5">
                  <c:v>30000</c:v>
                </c:pt>
                <c:pt idx="6">
                  <c:v>32000</c:v>
                </c:pt>
                <c:pt idx="7">
                  <c:v>28000</c:v>
                </c:pt>
                <c:pt idx="8">
                  <c:v>20000</c:v>
                </c:pt>
                <c:pt idx="9">
                  <c:v>10000</c:v>
                </c:pt>
                <c:pt idx="10">
                  <c:v>5000</c:v>
                </c:pt>
                <c:pt idx="11">
                  <c:v>3000</c:v>
                </c:pt>
              </c:numCache>
            </c:numRef>
          </c:val>
        </c:ser>
        <c:ser>
          <c:idx val="5"/>
          <c:order val="5"/>
          <c:tx>
            <c:strRef>
              <c:f>'MCFS GRAPHS'!$A$281</c:f>
              <c:strCache>
                <c:ptCount val="1"/>
                <c:pt idx="0">
                  <c:v>LVS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GRAPHS'!$B$275:$M$275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GRAPHS'!$B$281:$M$281</c:f>
              <c:numCache>
                <c:formatCode>#,##0</c:formatCode>
                <c:ptCount val="12"/>
                <c:pt idx="0">
                  <c:v>230000</c:v>
                </c:pt>
                <c:pt idx="1">
                  <c:v>245000</c:v>
                </c:pt>
                <c:pt idx="2">
                  <c:v>260000</c:v>
                </c:pt>
                <c:pt idx="3">
                  <c:v>260000</c:v>
                </c:pt>
                <c:pt idx="4">
                  <c:v>310000</c:v>
                </c:pt>
                <c:pt idx="5">
                  <c:v>390000</c:v>
                </c:pt>
                <c:pt idx="6">
                  <c:v>410000</c:v>
                </c:pt>
                <c:pt idx="7">
                  <c:v>330000</c:v>
                </c:pt>
                <c:pt idx="8">
                  <c:v>300000</c:v>
                </c:pt>
                <c:pt idx="9">
                  <c:v>290000</c:v>
                </c:pt>
                <c:pt idx="10">
                  <c:v>230000</c:v>
                </c:pt>
                <c:pt idx="11">
                  <c:v>240000</c:v>
                </c:pt>
              </c:numCache>
            </c:numRef>
          </c:val>
        </c:ser>
        <c:overlap val="100"/>
        <c:axId val="110913024"/>
        <c:axId val="110914560"/>
      </c:barChart>
      <c:dateAx>
        <c:axId val="110913024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914560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1091456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1.477378060084497E-2"/>
              <c:y val="0.47660466765981541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91302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2751651396738544"/>
          <c:y val="0.946276985647031"/>
          <c:w val="0.20960317692630426"/>
          <c:h val="4.159466553167347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Monthly Sales Projections - PGC and Non-PGC</a:t>
            </a:r>
          </a:p>
        </c:rich>
      </c:tx>
      <c:layout>
        <c:manualLayout>
          <c:xMode val="edge"/>
          <c:yMode val="edge"/>
          <c:x val="0.34569044541074156"/>
          <c:y val="2.862270707781645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009267840593868"/>
          <c:y val="0.1359575412201659"/>
          <c:w val="0.86561631139944395"/>
          <c:h val="0.73345515658251581"/>
        </c:manualLayout>
      </c:layout>
      <c:barChart>
        <c:barDir val="col"/>
        <c:grouping val="stacked"/>
        <c:ser>
          <c:idx val="0"/>
          <c:order val="0"/>
          <c:tx>
            <c:strRef>
              <c:f>'MCFS GRAPHS'!$A$283</c:f>
              <c:strCache>
                <c:ptCount val="1"/>
                <c:pt idx="0">
                  <c:v>PGC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GRAPHS'!$B$275:$M$275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GRAPHS'!$B$283:$M$283</c:f>
              <c:numCache>
                <c:formatCode>#,##0</c:formatCode>
                <c:ptCount val="12"/>
                <c:pt idx="0">
                  <c:v>265639</c:v>
                </c:pt>
                <c:pt idx="1">
                  <c:v>265639</c:v>
                </c:pt>
                <c:pt idx="2">
                  <c:v>308187.3</c:v>
                </c:pt>
                <c:pt idx="3">
                  <c:v>666713.20000000007</c:v>
                </c:pt>
                <c:pt idx="4">
                  <c:v>1126064.0999999999</c:v>
                </c:pt>
                <c:pt idx="5">
                  <c:v>1730346.25</c:v>
                </c:pt>
                <c:pt idx="6">
                  <c:v>1909256.8</c:v>
                </c:pt>
                <c:pt idx="7">
                  <c:v>1608302.8</c:v>
                </c:pt>
                <c:pt idx="8">
                  <c:v>1278154.75</c:v>
                </c:pt>
                <c:pt idx="9">
                  <c:v>728922</c:v>
                </c:pt>
                <c:pt idx="10">
                  <c:v>411126.7</c:v>
                </c:pt>
                <c:pt idx="11">
                  <c:v>266900.25</c:v>
                </c:pt>
              </c:numCache>
            </c:numRef>
          </c:val>
        </c:ser>
        <c:ser>
          <c:idx val="1"/>
          <c:order val="1"/>
          <c:tx>
            <c:strRef>
              <c:f>'MCFS GRAPHS'!$A$284</c:f>
              <c:strCache>
                <c:ptCount val="1"/>
                <c:pt idx="0">
                  <c:v>NON-PGC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GRAPHS'!$B$275:$M$275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GRAPHS'!$B$284:$M$284</c:f>
              <c:numCache>
                <c:formatCode>#,##0</c:formatCode>
                <c:ptCount val="12"/>
                <c:pt idx="0">
                  <c:v>232800</c:v>
                </c:pt>
                <c:pt idx="1">
                  <c:v>247000</c:v>
                </c:pt>
                <c:pt idx="2">
                  <c:v>262600</c:v>
                </c:pt>
                <c:pt idx="3">
                  <c:v>268000</c:v>
                </c:pt>
                <c:pt idx="4">
                  <c:v>327000</c:v>
                </c:pt>
                <c:pt idx="5">
                  <c:v>420000</c:v>
                </c:pt>
                <c:pt idx="6">
                  <c:v>442000</c:v>
                </c:pt>
                <c:pt idx="7">
                  <c:v>358000</c:v>
                </c:pt>
                <c:pt idx="8">
                  <c:v>320000</c:v>
                </c:pt>
                <c:pt idx="9">
                  <c:v>300000</c:v>
                </c:pt>
                <c:pt idx="10">
                  <c:v>235000</c:v>
                </c:pt>
                <c:pt idx="11">
                  <c:v>243000</c:v>
                </c:pt>
              </c:numCache>
            </c:numRef>
          </c:val>
        </c:ser>
        <c:overlap val="100"/>
        <c:axId val="110961024"/>
        <c:axId val="110962560"/>
      </c:barChart>
      <c:dateAx>
        <c:axId val="110961024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962560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1096256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1.4828514905786037E-2"/>
              <c:y val="0.47406247403432838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96102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7358669252166624"/>
          <c:y val="0.9445471829987736"/>
          <c:w val="0.11770155129862522"/>
          <c:h val="4.293396286358071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Monthly Sales % - PGC and Non-PGC</a:t>
            </a:r>
          </a:p>
        </c:rich>
      </c:tx>
      <c:layout>
        <c:manualLayout>
          <c:xMode val="edge"/>
          <c:yMode val="edge"/>
          <c:x val="0.36457356509684091"/>
          <c:y val="2.763397842774578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5.6232427366447992E-2"/>
          <c:y val="0.13471525312240987"/>
          <c:w val="0.90909090909090906"/>
          <c:h val="0.73920677354341591"/>
        </c:manualLayout>
      </c:layout>
      <c:barChart>
        <c:barDir val="col"/>
        <c:grouping val="stacked"/>
        <c:ser>
          <c:idx val="0"/>
          <c:order val="0"/>
          <c:tx>
            <c:strRef>
              <c:f>'MCFS GRAPHS'!$A$285</c:f>
              <c:strCache>
                <c:ptCount val="1"/>
                <c:pt idx="0">
                  <c:v>PGC%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GRAPHS'!$B$275:$M$275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GRAPHS'!$B$285:$M$285</c:f>
              <c:numCache>
                <c:formatCode>0%</c:formatCode>
                <c:ptCount val="12"/>
                <c:pt idx="0">
                  <c:v>0.53294184443833648</c:v>
                </c:pt>
                <c:pt idx="1">
                  <c:v>0.51817945961973244</c:v>
                </c:pt>
                <c:pt idx="2">
                  <c:v>0.53993370209883784</c:v>
                </c:pt>
                <c:pt idx="3">
                  <c:v>0.71328103636495133</c:v>
                </c:pt>
                <c:pt idx="4">
                  <c:v>0.7749583105108715</c:v>
                </c:pt>
                <c:pt idx="5">
                  <c:v>0.80468261797373331</c:v>
                </c:pt>
                <c:pt idx="6">
                  <c:v>0.8120154293652655</c:v>
                </c:pt>
                <c:pt idx="7">
                  <c:v>0.81793241610600365</c:v>
                </c:pt>
                <c:pt idx="8">
                  <c:v>0.7997690774313313</c:v>
                </c:pt>
                <c:pt idx="9">
                  <c:v>0.70843270918495282</c:v>
                </c:pt>
                <c:pt idx="10">
                  <c:v>0.63629424383793465</c:v>
                </c:pt>
                <c:pt idx="11">
                  <c:v>0.52343620149235071</c:v>
                </c:pt>
              </c:numCache>
            </c:numRef>
          </c:val>
        </c:ser>
        <c:ser>
          <c:idx val="1"/>
          <c:order val="1"/>
          <c:tx>
            <c:strRef>
              <c:f>'MCFS GRAPHS'!$A$286</c:f>
              <c:strCache>
                <c:ptCount val="1"/>
                <c:pt idx="0">
                  <c:v>NON-PGC%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GRAPHS'!$B$275:$M$275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GRAPHS'!$B$286:$M$286</c:f>
              <c:numCache>
                <c:formatCode>0%</c:formatCode>
                <c:ptCount val="12"/>
                <c:pt idx="0">
                  <c:v>0.46705815556166352</c:v>
                </c:pt>
                <c:pt idx="1">
                  <c:v>0.48182054038026761</c:v>
                </c:pt>
                <c:pt idx="2">
                  <c:v>0.4600662979011621</c:v>
                </c:pt>
                <c:pt idx="3">
                  <c:v>0.28671896363504867</c:v>
                </c:pt>
                <c:pt idx="4">
                  <c:v>0.22504168948912856</c:v>
                </c:pt>
                <c:pt idx="5">
                  <c:v>0.19531738202626669</c:v>
                </c:pt>
                <c:pt idx="6">
                  <c:v>0.18798457063473459</c:v>
                </c:pt>
                <c:pt idx="7">
                  <c:v>0.18206758389399638</c:v>
                </c:pt>
                <c:pt idx="8">
                  <c:v>0.20023092256866865</c:v>
                </c:pt>
                <c:pt idx="9">
                  <c:v>0.29156729081504723</c:v>
                </c:pt>
                <c:pt idx="10">
                  <c:v>0.36370575616206546</c:v>
                </c:pt>
                <c:pt idx="11">
                  <c:v>0.47656379850764929</c:v>
                </c:pt>
              </c:numCache>
            </c:numRef>
          </c:val>
        </c:ser>
        <c:overlap val="100"/>
        <c:axId val="110987520"/>
        <c:axId val="111009792"/>
      </c:barChart>
      <c:dateAx>
        <c:axId val="110987520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009792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11009792"/>
        <c:scaling>
          <c:orientation val="minMax"/>
          <c:max val="1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98752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3955014113801832"/>
          <c:y val="0.9464610280986"/>
          <c:w val="0.14151824889814638"/>
          <c:h val="4.145077915529873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Projected Average Day Sales by Rate</a:t>
            </a:r>
          </a:p>
        </c:rich>
      </c:tx>
      <c:layout>
        <c:manualLayout>
          <c:xMode val="edge"/>
          <c:yMode val="edge"/>
          <c:x val="0.35312179180489572"/>
          <c:y val="2.876492810982107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2118730808596519E-2"/>
          <c:y val="0.1319799135137637"/>
          <c:w val="0.87001023541457434"/>
          <c:h val="0.74450207623151365"/>
        </c:manualLayout>
      </c:layout>
      <c:barChart>
        <c:barDir val="col"/>
        <c:grouping val="stacked"/>
        <c:ser>
          <c:idx val="0"/>
          <c:order val="0"/>
          <c:tx>
            <c:strRef>
              <c:f>'MCFS GRAPHS'!$A$355</c:f>
              <c:strCache>
                <c:ptCount val="1"/>
                <c:pt idx="0">
                  <c:v>RS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GRAPHS'!$B$354:$M$354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GRAPHS'!$B$355:$M$355</c:f>
              <c:numCache>
                <c:formatCode>#,##0</c:formatCode>
                <c:ptCount val="12"/>
                <c:pt idx="0">
                  <c:v>3714</c:v>
                </c:pt>
                <c:pt idx="1">
                  <c:v>3714</c:v>
                </c:pt>
                <c:pt idx="2">
                  <c:v>4795.4266666666663</c:v>
                </c:pt>
                <c:pt idx="3">
                  <c:v>11925.329032258065</c:v>
                </c:pt>
                <c:pt idx="4">
                  <c:v>22098.253333333334</c:v>
                </c:pt>
                <c:pt idx="5">
                  <c:v>33701.451612903227</c:v>
                </c:pt>
                <c:pt idx="6">
                  <c:v>37364.348387096776</c:v>
                </c:pt>
                <c:pt idx="7">
                  <c:v>33533.131034482758</c:v>
                </c:pt>
                <c:pt idx="8">
                  <c:v>24443.580645161292</c:v>
                </c:pt>
                <c:pt idx="9">
                  <c:v>13696.4</c:v>
                </c:pt>
                <c:pt idx="10">
                  <c:v>6692.61935483871</c:v>
                </c:pt>
                <c:pt idx="11">
                  <c:v>3921.9666666666667</c:v>
                </c:pt>
              </c:numCache>
            </c:numRef>
          </c:val>
        </c:ser>
        <c:ser>
          <c:idx val="1"/>
          <c:order val="1"/>
          <c:tx>
            <c:strRef>
              <c:f>'MCFS GRAPHS'!$A$356</c:f>
              <c:strCache>
                <c:ptCount val="1"/>
                <c:pt idx="0">
                  <c:v>GS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GRAPHS'!$B$354:$M$354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GRAPHS'!$B$356:$M$356</c:f>
              <c:numCache>
                <c:formatCode>#,##0</c:formatCode>
                <c:ptCount val="12"/>
                <c:pt idx="0">
                  <c:v>2719</c:v>
                </c:pt>
                <c:pt idx="1">
                  <c:v>2719</c:v>
                </c:pt>
                <c:pt idx="2">
                  <c:v>3126.3766666666666</c:v>
                </c:pt>
                <c:pt idx="3">
                  <c:v>5812.2322580645168</c:v>
                </c:pt>
                <c:pt idx="4">
                  <c:v>9644.4033333333318</c:v>
                </c:pt>
                <c:pt idx="5">
                  <c:v>14015.362903225807</c:v>
                </c:pt>
                <c:pt idx="6">
                  <c:v>15395.187096774192</c:v>
                </c:pt>
                <c:pt idx="7">
                  <c:v>13906.441379310345</c:v>
                </c:pt>
                <c:pt idx="8">
                  <c:v>10527.895161290322</c:v>
                </c:pt>
                <c:pt idx="9">
                  <c:v>6479.4</c:v>
                </c:pt>
                <c:pt idx="10">
                  <c:v>3841.0548387096774</c:v>
                </c:pt>
                <c:pt idx="11">
                  <c:v>2797.3416666666667</c:v>
                </c:pt>
              </c:numCache>
            </c:numRef>
          </c:val>
        </c:ser>
        <c:ser>
          <c:idx val="2"/>
          <c:order val="2"/>
          <c:tx>
            <c:strRef>
              <c:f>'MCFS GRAPHS'!$A$357</c:f>
              <c:strCache>
                <c:ptCount val="1"/>
                <c:pt idx="0">
                  <c:v>CIS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GRAPHS'!$B$354:$M$354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GRAPHS'!$B$357:$M$357</c:f>
              <c:numCache>
                <c:formatCode>#,##0</c:formatCode>
                <c:ptCount val="12"/>
                <c:pt idx="0">
                  <c:v>2022</c:v>
                </c:pt>
                <c:pt idx="1">
                  <c:v>2022</c:v>
                </c:pt>
                <c:pt idx="2">
                  <c:v>2191.4333333333334</c:v>
                </c:pt>
                <c:pt idx="3">
                  <c:v>3308.516129032258</c:v>
                </c:pt>
                <c:pt idx="4">
                  <c:v>4902.3666666666668</c:v>
                </c:pt>
                <c:pt idx="5">
                  <c:v>6720.3064516129034</c:v>
                </c:pt>
                <c:pt idx="6">
                  <c:v>7294.1935483870966</c:v>
                </c:pt>
                <c:pt idx="7">
                  <c:v>6644.2758620689656</c:v>
                </c:pt>
                <c:pt idx="8">
                  <c:v>5269.822580645161</c:v>
                </c:pt>
                <c:pt idx="9">
                  <c:v>3586</c:v>
                </c:pt>
                <c:pt idx="10">
                  <c:v>2488.6774193548385</c:v>
                </c:pt>
                <c:pt idx="11">
                  <c:v>2054.5833333333335</c:v>
                </c:pt>
              </c:numCache>
            </c:numRef>
          </c:val>
        </c:ser>
        <c:ser>
          <c:idx val="3"/>
          <c:order val="3"/>
          <c:tx>
            <c:strRef>
              <c:f>'MCFS GRAPHS'!$A$358</c:f>
              <c:strCache>
                <c:ptCount val="1"/>
                <c:pt idx="0">
                  <c:v>MS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GRAPHS'!$B$354:$M$354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GRAPHS'!$B$358:$M$358</c:f>
              <c:numCache>
                <c:formatCode>#,##0</c:formatCode>
                <c:ptCount val="12"/>
                <c:pt idx="0">
                  <c:v>114</c:v>
                </c:pt>
                <c:pt idx="1">
                  <c:v>114</c:v>
                </c:pt>
                <c:pt idx="2">
                  <c:v>159.67333333333332</c:v>
                </c:pt>
                <c:pt idx="3">
                  <c:v>460.8</c:v>
                </c:pt>
                <c:pt idx="4">
                  <c:v>890.4466666666666</c:v>
                </c:pt>
                <c:pt idx="5">
                  <c:v>1380.5</c:v>
                </c:pt>
                <c:pt idx="6">
                  <c:v>1535.2</c:v>
                </c:pt>
                <c:pt idx="7">
                  <c:v>1374.8689655172416</c:v>
                </c:pt>
                <c:pt idx="8">
                  <c:v>989.5</c:v>
                </c:pt>
                <c:pt idx="9">
                  <c:v>535.6</c:v>
                </c:pt>
                <c:pt idx="10">
                  <c:v>239.79999999999998</c:v>
                </c:pt>
                <c:pt idx="11">
                  <c:v>122.78333333333333</c:v>
                </c:pt>
              </c:numCache>
            </c:numRef>
          </c:val>
        </c:ser>
        <c:ser>
          <c:idx val="4"/>
          <c:order val="4"/>
          <c:tx>
            <c:strRef>
              <c:f>'MCFS GRAPHS'!$A$359</c:f>
              <c:strCache>
                <c:ptCount val="1"/>
                <c:pt idx="0">
                  <c:v>FS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GRAPHS'!$B$354:$M$354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GRAPHS'!$B$359:$M$359</c:f>
              <c:numCache>
                <c:formatCode>#,##0</c:formatCode>
                <c:ptCount val="12"/>
                <c:pt idx="0">
                  <c:v>90.322580645161295</c:v>
                </c:pt>
                <c:pt idx="1">
                  <c:v>64.516129032258064</c:v>
                </c:pt>
                <c:pt idx="2">
                  <c:v>86.666666666666671</c:v>
                </c:pt>
                <c:pt idx="3">
                  <c:v>258.06451612903226</c:v>
                </c:pt>
                <c:pt idx="4">
                  <c:v>566.66666666666663</c:v>
                </c:pt>
                <c:pt idx="5">
                  <c:v>967.74193548387098</c:v>
                </c:pt>
                <c:pt idx="6">
                  <c:v>1032.258064516129</c:v>
                </c:pt>
                <c:pt idx="7">
                  <c:v>965.51724137931035</c:v>
                </c:pt>
                <c:pt idx="8">
                  <c:v>645.16129032258061</c:v>
                </c:pt>
                <c:pt idx="9">
                  <c:v>333.33333333333331</c:v>
                </c:pt>
                <c:pt idx="10">
                  <c:v>161.29032258064515</c:v>
                </c:pt>
                <c:pt idx="11">
                  <c:v>100</c:v>
                </c:pt>
              </c:numCache>
            </c:numRef>
          </c:val>
        </c:ser>
        <c:ser>
          <c:idx val="5"/>
          <c:order val="5"/>
          <c:tx>
            <c:strRef>
              <c:f>'MCFS GRAPHS'!$A$360</c:f>
              <c:strCache>
                <c:ptCount val="1"/>
                <c:pt idx="0">
                  <c:v>LVS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GRAPHS'!$B$354:$M$354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GRAPHS'!$B$360:$M$360</c:f>
              <c:numCache>
                <c:formatCode>#,##0</c:formatCode>
                <c:ptCount val="12"/>
                <c:pt idx="0">
                  <c:v>7419.3548387096771</c:v>
                </c:pt>
                <c:pt idx="1">
                  <c:v>7903.2258064516127</c:v>
                </c:pt>
                <c:pt idx="2">
                  <c:v>8666.6666666666661</c:v>
                </c:pt>
                <c:pt idx="3">
                  <c:v>8387.0967741935492</c:v>
                </c:pt>
                <c:pt idx="4">
                  <c:v>10333.333333333334</c:v>
                </c:pt>
                <c:pt idx="5">
                  <c:v>12580.645161290322</c:v>
                </c:pt>
                <c:pt idx="6">
                  <c:v>13225.806451612903</c:v>
                </c:pt>
                <c:pt idx="7">
                  <c:v>11379.310344827587</c:v>
                </c:pt>
                <c:pt idx="8">
                  <c:v>9677.4193548387102</c:v>
                </c:pt>
                <c:pt idx="9">
                  <c:v>9666.6666666666661</c:v>
                </c:pt>
                <c:pt idx="10">
                  <c:v>7419.3548387096771</c:v>
                </c:pt>
                <c:pt idx="11">
                  <c:v>8000</c:v>
                </c:pt>
              </c:numCache>
            </c:numRef>
          </c:val>
        </c:ser>
        <c:overlap val="100"/>
        <c:axId val="110800256"/>
        <c:axId val="110818432"/>
      </c:barChart>
      <c:dateAx>
        <c:axId val="110800256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818432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1081843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Mcfs/day</a:t>
                </a:r>
              </a:p>
            </c:rich>
          </c:tx>
          <c:layout>
            <c:manualLayout>
              <c:xMode val="edge"/>
              <c:yMode val="edge"/>
              <c:x val="1.6376655286781241E-2"/>
              <c:y val="0.45516147036982785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80025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1044008530859538"/>
          <c:y val="0.94754807670130869"/>
          <c:w val="0.23234395906484911"/>
          <c:h val="4.0609256004686567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9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PGC Monthly Sales - YTD Actual vs Projections</a:t>
            </a:r>
          </a:p>
        </c:rich>
      </c:tx>
      <c:layout>
        <c:manualLayout>
          <c:xMode val="edge"/>
          <c:yMode val="edge"/>
          <c:x val="0.31226299877072738"/>
          <c:y val="2.979515374891485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2010113780025312"/>
          <c:y val="0.12849185378086794"/>
          <c:w val="0.83691529709228862"/>
          <c:h val="0.74674251255262902"/>
        </c:manualLayout>
      </c:layout>
      <c:barChart>
        <c:barDir val="col"/>
        <c:grouping val="clustered"/>
        <c:ser>
          <c:idx val="0"/>
          <c:order val="0"/>
          <c:tx>
            <c:strRef>
              <c:f>'MCFS GRAPHS'!$A$121</c:f>
              <c:strCache>
                <c:ptCount val="1"/>
                <c:pt idx="0">
                  <c:v>PGC MTH PROJECTED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GRAPHS'!$B$120:$M$120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GRAPHS'!$B$121:$M$121</c:f>
              <c:numCache>
                <c:formatCode>#,##0</c:formatCode>
                <c:ptCount val="12"/>
                <c:pt idx="0">
                  <c:v>265639</c:v>
                </c:pt>
                <c:pt idx="1">
                  <c:v>265639</c:v>
                </c:pt>
                <c:pt idx="2">
                  <c:v>308187.3</c:v>
                </c:pt>
                <c:pt idx="3">
                  <c:v>666713.19999999995</c:v>
                </c:pt>
                <c:pt idx="4">
                  <c:v>1126064.1000000001</c:v>
                </c:pt>
                <c:pt idx="5">
                  <c:v>1730346.25</c:v>
                </c:pt>
                <c:pt idx="6">
                  <c:v>1909256.8</c:v>
                </c:pt>
                <c:pt idx="7">
                  <c:v>1608302.8</c:v>
                </c:pt>
                <c:pt idx="8">
                  <c:v>1278154.75</c:v>
                </c:pt>
                <c:pt idx="9">
                  <c:v>728922</c:v>
                </c:pt>
                <c:pt idx="10">
                  <c:v>411126.7</c:v>
                </c:pt>
                <c:pt idx="11">
                  <c:v>266900.25</c:v>
                </c:pt>
              </c:numCache>
            </c:numRef>
          </c:val>
        </c:ser>
        <c:ser>
          <c:idx val="1"/>
          <c:order val="1"/>
          <c:tx>
            <c:strRef>
              <c:f>'MCFS GRAPHS'!$A$122</c:f>
              <c:strCache>
                <c:ptCount val="1"/>
                <c:pt idx="0">
                  <c:v>PGC MTH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GRAPHS'!$B$120:$M$120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GRAPHS'!$B$122:$M$122</c:f>
              <c:numCache>
                <c:formatCode>#,##0</c:formatCode>
                <c:ptCount val="12"/>
                <c:pt idx="0">
                  <c:v>237396.3</c:v>
                </c:pt>
                <c:pt idx="1">
                  <c:v>276343.30000000005</c:v>
                </c:pt>
                <c:pt idx="2">
                  <c:v>310780.5</c:v>
                </c:pt>
                <c:pt idx="3">
                  <c:v>555374.60000000009</c:v>
                </c:pt>
                <c:pt idx="4">
                  <c:v>1041641.6</c:v>
                </c:pt>
                <c:pt idx="5">
                  <c:v>1538484.5000000002</c:v>
                </c:pt>
                <c:pt idx="6">
                  <c:v>1758792.9</c:v>
                </c:pt>
                <c:pt idx="7">
                  <c:v>1565339.9000000001</c:v>
                </c:pt>
                <c:pt idx="8">
                  <c:v>805485.6</c:v>
                </c:pt>
                <c:pt idx="9">
                  <c:v>565655.50000000012</c:v>
                </c:pt>
                <c:pt idx="10">
                  <c:v>372153.9</c:v>
                </c:pt>
                <c:pt idx="11">
                  <c:v>281724.09999999998</c:v>
                </c:pt>
              </c:numCache>
            </c:numRef>
          </c:val>
        </c:ser>
        <c:ser>
          <c:idx val="2"/>
          <c:order val="2"/>
          <c:tx>
            <c:strRef>
              <c:f>'MCFS GRAPHS'!$A$123</c:f>
              <c:strCache>
                <c:ptCount val="1"/>
                <c:pt idx="0">
                  <c:v>PGC MTH NRMLZD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GRAPHS'!$B$120:$M$120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GRAPHS'!$B$123:$M$123</c:f>
              <c:numCache>
                <c:formatCode>#,##0</c:formatCode>
                <c:ptCount val="12"/>
                <c:pt idx="0">
                  <c:v>237396.3</c:v>
                </c:pt>
                <c:pt idx="1">
                  <c:v>276343.30000000005</c:v>
                </c:pt>
                <c:pt idx="2">
                  <c:v>310780.5</c:v>
                </c:pt>
                <c:pt idx="3">
                  <c:v>521767.41333333333</c:v>
                </c:pt>
                <c:pt idx="4">
                  <c:v>1122155.7644999998</c:v>
                </c:pt>
                <c:pt idx="5">
                  <c:v>1671354.6206224549</c:v>
                </c:pt>
                <c:pt idx="6">
                  <c:v>1814251.5764768857</c:v>
                </c:pt>
                <c:pt idx="7">
                  <c:v>1595704.6027450983</c:v>
                </c:pt>
                <c:pt idx="8">
                  <c:v>1271793.2385193133</c:v>
                </c:pt>
                <c:pt idx="9">
                  <c:v>542075.86756756762</c:v>
                </c:pt>
                <c:pt idx="10">
                  <c:v>354864.2</c:v>
                </c:pt>
                <c:pt idx="11">
                  <c:v>316380.22091370553</c:v>
                </c:pt>
              </c:numCache>
            </c:numRef>
          </c:val>
        </c:ser>
        <c:axId val="108960384"/>
        <c:axId val="108974464"/>
      </c:barChart>
      <c:dateAx>
        <c:axId val="108960384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974464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8974464"/>
        <c:scaling>
          <c:orientation val="minMax"/>
          <c:max val="2000000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2.0227515864314496E-2"/>
              <c:y val="0.47299897957629738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960384"/>
        <c:crosses val="autoZero"/>
        <c:crossBetween val="between"/>
        <c:majorUnit val="500000"/>
        <c:minorUnit val="1000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616937439785898"/>
          <c:y val="0.94599795915259965"/>
          <c:w val="0.42477876341409693"/>
          <c:h val="4.096843793945493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portrait"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9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Non-PGC Monthly Sales - YTD Actual vs Projections</a:t>
            </a:r>
          </a:p>
        </c:rich>
      </c:tx>
      <c:layout>
        <c:manualLayout>
          <c:xMode val="edge"/>
          <c:yMode val="edge"/>
          <c:x val="0.29193418130429355"/>
          <c:y val="2.979515374891485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101155122527015"/>
          <c:y val="0.12849185378086794"/>
          <c:w val="0.84635294882598056"/>
          <c:h val="0.74674251255262902"/>
        </c:manualLayout>
      </c:layout>
      <c:barChart>
        <c:barDir val="col"/>
        <c:grouping val="clustered"/>
        <c:ser>
          <c:idx val="0"/>
          <c:order val="0"/>
          <c:tx>
            <c:strRef>
              <c:f>'MCFS GRAPHS'!$A$211</c:f>
              <c:strCache>
                <c:ptCount val="1"/>
                <c:pt idx="0">
                  <c:v>NON-PGC MTH PROJECTED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GRAPHS'!$B$180:$M$180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GRAPHS'!$B$211:$M$211</c:f>
              <c:numCache>
                <c:formatCode>#,##0</c:formatCode>
                <c:ptCount val="12"/>
                <c:pt idx="0">
                  <c:v>224000</c:v>
                </c:pt>
                <c:pt idx="1">
                  <c:v>233200</c:v>
                </c:pt>
                <c:pt idx="2">
                  <c:v>248800</c:v>
                </c:pt>
                <c:pt idx="3">
                  <c:v>269200</c:v>
                </c:pt>
                <c:pt idx="4">
                  <c:v>328200</c:v>
                </c:pt>
                <c:pt idx="5">
                  <c:v>421200</c:v>
                </c:pt>
                <c:pt idx="6">
                  <c:v>443200</c:v>
                </c:pt>
                <c:pt idx="7">
                  <c:v>359200</c:v>
                </c:pt>
                <c:pt idx="8">
                  <c:v>321200</c:v>
                </c:pt>
                <c:pt idx="9">
                  <c:v>301200</c:v>
                </c:pt>
                <c:pt idx="10">
                  <c:v>236200</c:v>
                </c:pt>
                <c:pt idx="11">
                  <c:v>244200</c:v>
                </c:pt>
              </c:numCache>
            </c:numRef>
          </c:val>
        </c:ser>
        <c:ser>
          <c:idx val="1"/>
          <c:order val="1"/>
          <c:tx>
            <c:strRef>
              <c:f>'MCFS GRAPHS'!$A$212</c:f>
              <c:strCache>
                <c:ptCount val="1"/>
                <c:pt idx="0">
                  <c:v>NON-PGC MTH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GRAPHS'!$B$180:$M$180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GRAPHS'!$B$212:$M$212</c:f>
              <c:numCache>
                <c:formatCode>#,##0</c:formatCode>
                <c:ptCount val="12"/>
                <c:pt idx="0">
                  <c:v>216811.1</c:v>
                </c:pt>
                <c:pt idx="1">
                  <c:v>240336.4</c:v>
                </c:pt>
                <c:pt idx="2">
                  <c:v>255779.8</c:v>
                </c:pt>
                <c:pt idx="3">
                  <c:v>275439.8</c:v>
                </c:pt>
                <c:pt idx="4">
                  <c:v>330773.90000000002</c:v>
                </c:pt>
                <c:pt idx="5">
                  <c:v>357854.10000000003</c:v>
                </c:pt>
                <c:pt idx="6">
                  <c:v>372037</c:v>
                </c:pt>
                <c:pt idx="7">
                  <c:v>352315.7</c:v>
                </c:pt>
                <c:pt idx="8">
                  <c:v>299981</c:v>
                </c:pt>
                <c:pt idx="9">
                  <c:v>269909.3</c:v>
                </c:pt>
                <c:pt idx="10">
                  <c:v>247803</c:v>
                </c:pt>
                <c:pt idx="11">
                  <c:v>229430.5</c:v>
                </c:pt>
              </c:numCache>
            </c:numRef>
          </c:val>
        </c:ser>
        <c:ser>
          <c:idx val="2"/>
          <c:order val="2"/>
          <c:tx>
            <c:strRef>
              <c:f>'MCFS GRAPHS'!$A$213</c:f>
              <c:strCache>
                <c:ptCount val="1"/>
                <c:pt idx="0">
                  <c:v>NON-PGC MTH NRMLZD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GRAPHS'!$B$180:$M$180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GRAPHS'!$B$213:$M$213</c:f>
              <c:numCache>
                <c:formatCode>#,##0</c:formatCode>
                <c:ptCount val="12"/>
                <c:pt idx="0">
                  <c:v>216811.1</c:v>
                </c:pt>
                <c:pt idx="1">
                  <c:v>240336.4</c:v>
                </c:pt>
                <c:pt idx="2">
                  <c:v>254751</c:v>
                </c:pt>
                <c:pt idx="3">
                  <c:v>269681.59529610828</c:v>
                </c:pt>
                <c:pt idx="4">
                  <c:v>339137.67349999998</c:v>
                </c:pt>
                <c:pt idx="5">
                  <c:v>369029.59888016287</c:v>
                </c:pt>
                <c:pt idx="6">
                  <c:v>375694.86509975669</c:v>
                </c:pt>
                <c:pt idx="7">
                  <c:v>353795.94196078426</c:v>
                </c:pt>
                <c:pt idx="8">
                  <c:v>353342.62896995712</c:v>
                </c:pt>
                <c:pt idx="9">
                  <c:v>266086.88918918918</c:v>
                </c:pt>
                <c:pt idx="10">
                  <c:v>246167.3</c:v>
                </c:pt>
                <c:pt idx="11">
                  <c:v>228246.3</c:v>
                </c:pt>
              </c:numCache>
            </c:numRef>
          </c:val>
        </c:ser>
        <c:axId val="111052672"/>
        <c:axId val="111054208"/>
      </c:barChart>
      <c:dateAx>
        <c:axId val="111052672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054208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11054208"/>
        <c:scaling>
          <c:orientation val="minMax"/>
          <c:max val="500000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2.0486573793660409E-2"/>
              <c:y val="0.47299897957629738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052672"/>
        <c:crosses val="autoZero"/>
        <c:crossBetween val="between"/>
        <c:majorUnit val="500000"/>
        <c:minorUnit val="1000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6760629921259882"/>
          <c:y val="0.94599795915259965"/>
          <c:w val="0.53009098862642179"/>
          <c:h val="4.096843793945493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GS Monthly Sales - Actual vs Projections</a:t>
            </a:r>
          </a:p>
        </c:rich>
      </c:tx>
      <c:layout>
        <c:manualLayout>
          <c:xMode val="edge"/>
          <c:yMode val="edge"/>
          <c:x val="0.36064178524771523"/>
          <c:y val="2.2831157181305045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1398060785251532"/>
          <c:y val="0.12937614359800645"/>
          <c:w val="0.84862124440193065"/>
          <c:h val="0.68645459720824598"/>
        </c:manualLayout>
      </c:layout>
      <c:barChart>
        <c:barDir val="col"/>
        <c:grouping val="clustered"/>
        <c:ser>
          <c:idx val="0"/>
          <c:order val="0"/>
          <c:tx>
            <c:strRef>
              <c:f>'MCFS GRAPHS'!$A$31</c:f>
              <c:strCache>
                <c:ptCount val="1"/>
                <c:pt idx="0">
                  <c:v>GS MTH PROJECTED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GRAPHS'!$B$30:$M$30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GRAPHS'!$B$31:$M$31</c:f>
              <c:numCache>
                <c:formatCode>#,##0</c:formatCode>
                <c:ptCount val="12"/>
                <c:pt idx="0">
                  <c:v>84289</c:v>
                </c:pt>
                <c:pt idx="1">
                  <c:v>84289</c:v>
                </c:pt>
                <c:pt idx="2">
                  <c:v>93791.3</c:v>
                </c:pt>
                <c:pt idx="3">
                  <c:v>180179.20000000001</c:v>
                </c:pt>
                <c:pt idx="4">
                  <c:v>289332.09999999998</c:v>
                </c:pt>
                <c:pt idx="5">
                  <c:v>434476.25</c:v>
                </c:pt>
                <c:pt idx="6">
                  <c:v>477250.8</c:v>
                </c:pt>
                <c:pt idx="7">
                  <c:v>403286.8</c:v>
                </c:pt>
                <c:pt idx="8">
                  <c:v>326364.75</c:v>
                </c:pt>
                <c:pt idx="9">
                  <c:v>194382</c:v>
                </c:pt>
                <c:pt idx="10">
                  <c:v>119072.7</c:v>
                </c:pt>
                <c:pt idx="11">
                  <c:v>83920.25</c:v>
                </c:pt>
              </c:numCache>
            </c:numRef>
          </c:val>
        </c:ser>
        <c:ser>
          <c:idx val="1"/>
          <c:order val="1"/>
          <c:tx>
            <c:strRef>
              <c:f>'MCFS GRAPHS'!$A$32</c:f>
              <c:strCache>
                <c:ptCount val="1"/>
                <c:pt idx="0">
                  <c:v>GS MTH ACTUAL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GRAPHS'!$B$30:$M$30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GRAPHS'!$B$32:$M$32</c:f>
              <c:numCache>
                <c:formatCode>#,##0</c:formatCode>
                <c:ptCount val="12"/>
                <c:pt idx="0">
                  <c:v>76417.7</c:v>
                </c:pt>
                <c:pt idx="1">
                  <c:v>83451.899999999994</c:v>
                </c:pt>
                <c:pt idx="2">
                  <c:v>94307.1</c:v>
                </c:pt>
                <c:pt idx="3">
                  <c:v>135290.6</c:v>
                </c:pt>
                <c:pt idx="4">
                  <c:v>247923.3</c:v>
                </c:pt>
                <c:pt idx="5">
                  <c:v>347285.8</c:v>
                </c:pt>
                <c:pt idx="6">
                  <c:v>419846.6</c:v>
                </c:pt>
                <c:pt idx="7">
                  <c:v>378857.9</c:v>
                </c:pt>
                <c:pt idx="8">
                  <c:v>212657.9</c:v>
                </c:pt>
                <c:pt idx="9">
                  <c:v>150276.6</c:v>
                </c:pt>
                <c:pt idx="10">
                  <c:v>108819.7</c:v>
                </c:pt>
                <c:pt idx="11">
                  <c:v>80636.2</c:v>
                </c:pt>
              </c:numCache>
            </c:numRef>
          </c:val>
        </c:ser>
        <c:ser>
          <c:idx val="2"/>
          <c:order val="2"/>
          <c:tx>
            <c:strRef>
              <c:f>'MCFS GRAPHS'!$A$33</c:f>
              <c:strCache>
                <c:ptCount val="1"/>
                <c:pt idx="0">
                  <c:v>GS MTH NRMLZD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'MCFS GRAPHS'!$B$30:$M$30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'MCFS GRAPHS'!$B$33:$M$33</c:f>
              <c:numCache>
                <c:formatCode>#,##0</c:formatCode>
                <c:ptCount val="12"/>
                <c:pt idx="0">
                  <c:v>76417.7</c:v>
                </c:pt>
                <c:pt idx="1">
                  <c:v>83451.899999999994</c:v>
                </c:pt>
                <c:pt idx="2">
                  <c:v>94307.1</c:v>
                </c:pt>
                <c:pt idx="3">
                  <c:v>129233.06301184434</c:v>
                </c:pt>
                <c:pt idx="4">
                  <c:v>265059.06199999998</c:v>
                </c:pt>
                <c:pt idx="5">
                  <c:v>374893.57322571258</c:v>
                </c:pt>
                <c:pt idx="6">
                  <c:v>432370.8313187348</c:v>
                </c:pt>
                <c:pt idx="7">
                  <c:v>385778.66078431375</c:v>
                </c:pt>
                <c:pt idx="8">
                  <c:v>325079.12424892705</c:v>
                </c:pt>
                <c:pt idx="9">
                  <c:v>144961.65135135135</c:v>
                </c:pt>
                <c:pt idx="10">
                  <c:v>108819.7</c:v>
                </c:pt>
                <c:pt idx="11">
                  <c:v>80636.2</c:v>
                </c:pt>
              </c:numCache>
            </c:numRef>
          </c:val>
        </c:ser>
        <c:axId val="111168128"/>
        <c:axId val="111092096"/>
      </c:barChart>
      <c:dateAx>
        <c:axId val="111168128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09209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1109209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Mcfs</a:t>
                </a:r>
              </a:p>
            </c:rich>
          </c:tx>
          <c:layout>
            <c:manualLayout>
              <c:xMode val="edge"/>
              <c:yMode val="edge"/>
              <c:x val="2.5823758577265397E-2"/>
              <c:y val="0.44901126283267168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16812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680380871673548"/>
          <c:y val="0.94825110468786344"/>
          <c:w val="0.39893214693457074"/>
          <c:h val="3.957390610983758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r>
              <a:rPr lang="en-US"/>
              <a:t>NYMEX Natural Gas Futures (Henry Hub) 10Jul12</a:t>
            </a:r>
          </a:p>
        </c:rich>
      </c:tx>
      <c:layout>
        <c:manualLayout>
          <c:xMode val="edge"/>
          <c:yMode val="edge"/>
          <c:x val="0.28542335582288075"/>
          <c:y val="2.90599199078800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8491413508432084E-2"/>
          <c:y val="0.15213700610477784"/>
          <c:w val="0.8929672497841995"/>
          <c:h val="0.72649693926438863"/>
        </c:manualLayout>
      </c:layout>
      <c:lineChart>
        <c:grouping val="standard"/>
        <c:ser>
          <c:idx val="0"/>
          <c:order val="0"/>
          <c:tx>
            <c:strRef>
              <c:f>'EIA and NYMEX'!$E$58:$E$93</c:f>
              <c:strCache>
                <c:ptCount val="1"/>
                <c:pt idx="0">
                  <c:v>Aug-12 Sep-12 Oct-12 Nov-12 Dec-12 Jan-13 Feb-13 Mar-13 Apr-13 May-13 Jun-13 Jul-13 Aug-13 Sep-13 Oct-13 Nov-13 Dec-13 Jan-14 Feb-14 Mar-14 Apr-14 May-14 Jun-14 Jul-14 Aug-14 Sep-14 Oct-14 Nov-14 Dec-14 Jan-15 Feb-15 Mar-15 Apr-15 May-15 Jun-15 Jul-15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'EIA and NYMEX'!$E$58:$E$93</c:f>
              <c:numCache>
                <c:formatCode>[$-409]mmm\-yy;@</c:formatCode>
                <c:ptCount val="36"/>
                <c:pt idx="0">
                  <c:v>41122</c:v>
                </c:pt>
                <c:pt idx="1">
                  <c:v>41153</c:v>
                </c:pt>
                <c:pt idx="2">
                  <c:v>41183</c:v>
                </c:pt>
                <c:pt idx="3">
                  <c:v>41214</c:v>
                </c:pt>
                <c:pt idx="4">
                  <c:v>41244</c:v>
                </c:pt>
                <c:pt idx="5">
                  <c:v>41275</c:v>
                </c:pt>
                <c:pt idx="6">
                  <c:v>41306</c:v>
                </c:pt>
                <c:pt idx="7">
                  <c:v>41334</c:v>
                </c:pt>
                <c:pt idx="8">
                  <c:v>41365</c:v>
                </c:pt>
                <c:pt idx="9">
                  <c:v>41395</c:v>
                </c:pt>
                <c:pt idx="10">
                  <c:v>41426</c:v>
                </c:pt>
                <c:pt idx="11">
                  <c:v>41456</c:v>
                </c:pt>
                <c:pt idx="12">
                  <c:v>41487</c:v>
                </c:pt>
                <c:pt idx="13">
                  <c:v>41518</c:v>
                </c:pt>
                <c:pt idx="14">
                  <c:v>41548</c:v>
                </c:pt>
                <c:pt idx="15">
                  <c:v>41579</c:v>
                </c:pt>
                <c:pt idx="16">
                  <c:v>41609</c:v>
                </c:pt>
                <c:pt idx="17">
                  <c:v>41640</c:v>
                </c:pt>
                <c:pt idx="18">
                  <c:v>41671</c:v>
                </c:pt>
                <c:pt idx="19">
                  <c:v>41699</c:v>
                </c:pt>
                <c:pt idx="20">
                  <c:v>41730</c:v>
                </c:pt>
                <c:pt idx="21">
                  <c:v>41760</c:v>
                </c:pt>
                <c:pt idx="22">
                  <c:v>41791</c:v>
                </c:pt>
                <c:pt idx="23">
                  <c:v>41821</c:v>
                </c:pt>
                <c:pt idx="24">
                  <c:v>41852</c:v>
                </c:pt>
                <c:pt idx="25">
                  <c:v>41883</c:v>
                </c:pt>
                <c:pt idx="26">
                  <c:v>41913</c:v>
                </c:pt>
                <c:pt idx="27">
                  <c:v>41944</c:v>
                </c:pt>
                <c:pt idx="28">
                  <c:v>41974</c:v>
                </c:pt>
                <c:pt idx="29">
                  <c:v>42005</c:v>
                </c:pt>
                <c:pt idx="30">
                  <c:v>42036</c:v>
                </c:pt>
                <c:pt idx="31">
                  <c:v>42064</c:v>
                </c:pt>
                <c:pt idx="32">
                  <c:v>42095</c:v>
                </c:pt>
                <c:pt idx="33">
                  <c:v>42125</c:v>
                </c:pt>
                <c:pt idx="34">
                  <c:v>42156</c:v>
                </c:pt>
                <c:pt idx="35">
                  <c:v>42186</c:v>
                </c:pt>
              </c:numCache>
            </c:numRef>
          </c:cat>
          <c:val>
            <c:numRef>
              <c:f>'EIA and NYMEX'!$G$58:$G$93</c:f>
              <c:numCache>
                <c:formatCode>"$"#,##0.000_);[Red]\("$"#,##0.000\)</c:formatCode>
                <c:ptCount val="36"/>
                <c:pt idx="0">
                  <c:v>3.01</c:v>
                </c:pt>
                <c:pt idx="1">
                  <c:v>3.214</c:v>
                </c:pt>
                <c:pt idx="2">
                  <c:v>3.222</c:v>
                </c:pt>
                <c:pt idx="3">
                  <c:v>3.37</c:v>
                </c:pt>
                <c:pt idx="4">
                  <c:v>3.6019999999999999</c:v>
                </c:pt>
                <c:pt idx="5">
                  <c:v>3.714</c:v>
                </c:pt>
                <c:pt idx="6">
                  <c:v>3.7269999999999999</c:v>
                </c:pt>
                <c:pt idx="7">
                  <c:v>3.6970000000000001</c:v>
                </c:pt>
                <c:pt idx="8">
                  <c:v>3.665</c:v>
                </c:pt>
                <c:pt idx="9">
                  <c:v>3.6859999999999999</c:v>
                </c:pt>
                <c:pt idx="10">
                  <c:v>3.7229999999999999</c:v>
                </c:pt>
                <c:pt idx="11">
                  <c:v>3.766</c:v>
                </c:pt>
                <c:pt idx="12">
                  <c:v>3.786</c:v>
                </c:pt>
                <c:pt idx="13">
                  <c:v>3.7890000000000001</c:v>
                </c:pt>
                <c:pt idx="14">
                  <c:v>3.8170000000000002</c:v>
                </c:pt>
                <c:pt idx="15">
                  <c:v>3.9220000000000002</c:v>
                </c:pt>
                <c:pt idx="16">
                  <c:v>4.1230000000000002</c:v>
                </c:pt>
                <c:pt idx="17">
                  <c:v>4.2300000000000004</c:v>
                </c:pt>
                <c:pt idx="18">
                  <c:v>4.2149999999999999</c:v>
                </c:pt>
                <c:pt idx="19">
                  <c:v>4.1539999999999999</c:v>
                </c:pt>
                <c:pt idx="20" formatCode="&quot;$&quot;#,##0.000">
                  <c:v>4.0129999999999999</c:v>
                </c:pt>
                <c:pt idx="21" formatCode="&quot;$&quot;#,##0.000">
                  <c:v>4.0250000000000004</c:v>
                </c:pt>
                <c:pt idx="22" formatCode="&quot;$&quot;#,##0.000">
                  <c:v>4.048</c:v>
                </c:pt>
                <c:pt idx="23" formatCode="&quot;$&quot;#,##0.000">
                  <c:v>4.0880000000000001</c:v>
                </c:pt>
                <c:pt idx="24" formatCode="&quot;$&quot;#,##0.000">
                  <c:v>4.1070000000000002</c:v>
                </c:pt>
                <c:pt idx="25" formatCode="&quot;$&quot;#,##0.000">
                  <c:v>4.1100000000000003</c:v>
                </c:pt>
                <c:pt idx="26" formatCode="&quot;$&quot;#,##0.000">
                  <c:v>4.1470000000000002</c:v>
                </c:pt>
                <c:pt idx="27" formatCode="&quot;$&quot;#,##0.000">
                  <c:v>4.2370000000000001</c:v>
                </c:pt>
                <c:pt idx="28" formatCode="&quot;$&quot;#,##0.000">
                  <c:v>4.4290000000000003</c:v>
                </c:pt>
                <c:pt idx="29" formatCode="&quot;$&quot;#,##0.000">
                  <c:v>4.5279999999999996</c:v>
                </c:pt>
                <c:pt idx="30" formatCode="&quot;$&quot;#,##0.000">
                  <c:v>4.4950000000000001</c:v>
                </c:pt>
                <c:pt idx="31" formatCode="&quot;$&quot;#,##0.000">
                  <c:v>4.4169999999999998</c:v>
                </c:pt>
                <c:pt idx="32" formatCode="&quot;$&quot;#,##0.000">
                  <c:v>4.1870000000000003</c:v>
                </c:pt>
                <c:pt idx="33" formatCode="&quot;$&quot;#,##0.000">
                  <c:v>4.202</c:v>
                </c:pt>
                <c:pt idx="34" formatCode="&quot;$&quot;#,##0.000">
                  <c:v>4.2279999999999998</c:v>
                </c:pt>
                <c:pt idx="35" formatCode="&quot;$&quot;#,##0.000">
                  <c:v>4.2670000000000003</c:v>
                </c:pt>
              </c:numCache>
            </c:numRef>
          </c:val>
        </c:ser>
        <c:marker val="1"/>
        <c:axId val="111107072"/>
        <c:axId val="111420544"/>
      </c:lineChart>
      <c:dateAx>
        <c:axId val="111107072"/>
        <c:scaling>
          <c:orientation val="minMax"/>
          <c:max val="42216"/>
          <c:min val="41122"/>
        </c:scaling>
        <c:axPos val="b"/>
        <c:numFmt formatCode="[$-409]mmm\-yy;@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11420544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11420544"/>
        <c:scaling>
          <c:orientation val="minMax"/>
          <c:max val="5"/>
          <c:min val="1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r>
                  <a:rPr lang="en-US"/>
                  <a:t>$/MMBtu</a:t>
                </a:r>
              </a:p>
            </c:rich>
          </c:tx>
          <c:layout>
            <c:manualLayout>
              <c:xMode val="edge"/>
              <c:yMode val="edge"/>
              <c:x val="1.6309893778615223E-2"/>
              <c:y val="0.46495797261576782"/>
            </c:manualLayout>
          </c:layout>
          <c:spPr>
            <a:noFill/>
            <a:ln w="25400">
              <a:noFill/>
            </a:ln>
          </c:spPr>
        </c:title>
        <c:numFmt formatCode="\$#,##0_);[Red]\(\$#,##0\)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11107072"/>
        <c:crosses val="autoZero"/>
        <c:crossBetween val="midCat"/>
        <c:majorUnit val="1"/>
        <c:minorUnit val="0.25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 Narrow"/>
          <a:ea typeface="Arial Narrow"/>
          <a:cs typeface="Arial Narrow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1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Monthly Gas Purchases by Pipeline</a:t>
            </a:r>
          </a:p>
        </c:rich>
      </c:tx>
      <c:layout>
        <c:manualLayout>
          <c:xMode val="edge"/>
          <c:yMode val="edge"/>
          <c:x val="0.40308884219056584"/>
          <c:y val="2.990658206559130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3397683397684247E-2"/>
          <c:y val="0.14018742767022371"/>
          <c:w val="0.88803088803088803"/>
          <c:h val="0.72336712677835358"/>
        </c:manualLayout>
      </c:layout>
      <c:barChart>
        <c:barDir val="col"/>
        <c:grouping val="stacked"/>
        <c:ser>
          <c:idx val="1"/>
          <c:order val="0"/>
          <c:tx>
            <c:strRef>
              <c:f>'GAS '!$A$129</c:f>
              <c:strCache>
                <c:ptCount val="1"/>
                <c:pt idx="0">
                  <c:v>COLUMBIA DTH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'GAS '!$C$129:$N$129</c:f>
              <c:numCache>
                <c:formatCode>#,##0</c:formatCode>
                <c:ptCount val="12"/>
                <c:pt idx="0">
                  <c:v>556853</c:v>
                </c:pt>
                <c:pt idx="1">
                  <c:v>540733</c:v>
                </c:pt>
                <c:pt idx="2">
                  <c:v>522690</c:v>
                </c:pt>
                <c:pt idx="3">
                  <c:v>660315</c:v>
                </c:pt>
                <c:pt idx="4">
                  <c:v>1160949</c:v>
                </c:pt>
                <c:pt idx="5">
                  <c:v>1004261</c:v>
                </c:pt>
                <c:pt idx="6">
                  <c:v>1076457</c:v>
                </c:pt>
                <c:pt idx="7">
                  <c:v>1112757</c:v>
                </c:pt>
                <c:pt idx="8">
                  <c:v>634599</c:v>
                </c:pt>
                <c:pt idx="9">
                  <c:v>680880</c:v>
                </c:pt>
                <c:pt idx="10">
                  <c:v>588256</c:v>
                </c:pt>
                <c:pt idx="11">
                  <c:v>550200</c:v>
                </c:pt>
              </c:numCache>
            </c:numRef>
          </c:val>
        </c:ser>
        <c:ser>
          <c:idx val="2"/>
          <c:order val="1"/>
          <c:tx>
            <c:strRef>
              <c:f>'GAS '!$A$130</c:f>
              <c:strCache>
                <c:ptCount val="1"/>
                <c:pt idx="0">
                  <c:v>TRANSCO DTH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'GAS '!$C$130:$N$130</c:f>
              <c:numCache>
                <c:formatCode>#,##0</c:formatCode>
                <c:ptCount val="12"/>
                <c:pt idx="0">
                  <c:v>322090</c:v>
                </c:pt>
                <c:pt idx="1">
                  <c:v>322093</c:v>
                </c:pt>
                <c:pt idx="2">
                  <c:v>311700</c:v>
                </c:pt>
                <c:pt idx="3">
                  <c:v>322090</c:v>
                </c:pt>
                <c:pt idx="4">
                  <c:v>311699</c:v>
                </c:pt>
                <c:pt idx="5">
                  <c:v>322090</c:v>
                </c:pt>
                <c:pt idx="6">
                  <c:v>322092</c:v>
                </c:pt>
                <c:pt idx="7">
                  <c:v>301310</c:v>
                </c:pt>
                <c:pt idx="8">
                  <c:v>285400</c:v>
                </c:pt>
                <c:pt idx="9">
                  <c:v>310770</c:v>
                </c:pt>
                <c:pt idx="10">
                  <c:v>321008</c:v>
                </c:pt>
                <c:pt idx="11">
                  <c:v>310770</c:v>
                </c:pt>
              </c:numCache>
            </c:numRef>
          </c:val>
        </c:ser>
        <c:ser>
          <c:idx val="0"/>
          <c:order val="2"/>
          <c:tx>
            <c:strRef>
              <c:f>'GAS '!$A$128</c:f>
              <c:strCache>
                <c:ptCount val="1"/>
                <c:pt idx="0">
                  <c:v>DTI DTH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'GAS '!$C$128:$N$128</c:f>
              <c:numCache>
                <c:formatCode>#,##0</c:formatCode>
                <c:ptCount val="12"/>
                <c:pt idx="0">
                  <c:v>203732</c:v>
                </c:pt>
                <c:pt idx="1">
                  <c:v>171833</c:v>
                </c:pt>
                <c:pt idx="2">
                  <c:v>166290</c:v>
                </c:pt>
                <c:pt idx="3">
                  <c:v>171833</c:v>
                </c:pt>
                <c:pt idx="4">
                  <c:v>11880</c:v>
                </c:pt>
                <c:pt idx="5">
                  <c:v>12276</c:v>
                </c:pt>
                <c:pt idx="6">
                  <c:v>89776</c:v>
                </c:pt>
                <c:pt idx="7">
                  <c:v>11484</c:v>
                </c:pt>
                <c:pt idx="8">
                  <c:v>12276</c:v>
                </c:pt>
                <c:pt idx="9">
                  <c:v>11820</c:v>
                </c:pt>
                <c:pt idx="10">
                  <c:v>194360</c:v>
                </c:pt>
                <c:pt idx="11">
                  <c:v>190920</c:v>
                </c:pt>
              </c:numCache>
            </c:numRef>
          </c:val>
        </c:ser>
        <c:overlap val="100"/>
        <c:axId val="111846144"/>
        <c:axId val="111847680"/>
      </c:barChart>
      <c:dateAx>
        <c:axId val="111846144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847680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1184768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</a:t>
                </a:r>
              </a:p>
            </c:rich>
          </c:tx>
          <c:layout>
            <c:manualLayout>
              <c:xMode val="edge"/>
              <c:yMode val="edge"/>
              <c:x val="1.2355199972993718E-2"/>
              <c:y val="0.47850633233952738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84614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1467183161590332"/>
          <c:y val="0.94205947557526182"/>
          <c:w val="0.22471039994598746"/>
          <c:h val="4.485997502739349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orientation="landscape"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Monthly Gas Purchase% by Pipeline</a:t>
            </a:r>
          </a:p>
        </c:rich>
      </c:tx>
      <c:layout>
        <c:manualLayout>
          <c:xMode val="edge"/>
          <c:yMode val="edge"/>
          <c:x val="0.33359073684923363"/>
          <c:y val="2.491515415696712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8841698841700021E-2"/>
          <c:y val="0.1268405976619959"/>
          <c:w val="0.86100386100386095"/>
          <c:h val="0.75764606996320005"/>
        </c:manualLayout>
      </c:layout>
      <c:barChart>
        <c:barDir val="col"/>
        <c:grouping val="stacked"/>
        <c:ser>
          <c:idx val="1"/>
          <c:order val="0"/>
          <c:tx>
            <c:strRef>
              <c:f>'GAS '!$A$125</c:f>
              <c:strCache>
                <c:ptCount val="1"/>
                <c:pt idx="0">
                  <c:v>COLUMBIA%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'GAS '!$C$125:$N$125</c:f>
              <c:numCache>
                <c:formatCode>0%</c:formatCode>
                <c:ptCount val="12"/>
                <c:pt idx="0">
                  <c:v>0.51433070866141728</c:v>
                </c:pt>
                <c:pt idx="1">
                  <c:v>0.52261952971945347</c:v>
                </c:pt>
                <c:pt idx="2">
                  <c:v>0.54865222320191465</c:v>
                </c:pt>
                <c:pt idx="3">
                  <c:v>0.57207872206598642</c:v>
                </c:pt>
                <c:pt idx="4">
                  <c:v>0.78203240356530834</c:v>
                </c:pt>
                <c:pt idx="5">
                  <c:v>0.75021720016106053</c:v>
                </c:pt>
                <c:pt idx="6">
                  <c:v>0.72326743150857509</c:v>
                </c:pt>
                <c:pt idx="7">
                  <c:v>0.78058028088788123</c:v>
                </c:pt>
                <c:pt idx="8">
                  <c:v>0.68069936445791213</c:v>
                </c:pt>
                <c:pt idx="9">
                  <c:v>0.67852551645789116</c:v>
                </c:pt>
                <c:pt idx="10">
                  <c:v>0.53302211622799067</c:v>
                </c:pt>
                <c:pt idx="11">
                  <c:v>0.52305849470952281</c:v>
                </c:pt>
              </c:numCache>
            </c:numRef>
          </c:val>
        </c:ser>
        <c:ser>
          <c:idx val="2"/>
          <c:order val="1"/>
          <c:tx>
            <c:strRef>
              <c:f>'GAS '!$A$126</c:f>
              <c:strCache>
                <c:ptCount val="1"/>
                <c:pt idx="0">
                  <c:v>TRANSCO%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'GAS '!$C$126:$N$126</c:f>
              <c:numCache>
                <c:formatCode>0%</c:formatCode>
                <c:ptCount val="12"/>
                <c:pt idx="0">
                  <c:v>0.29749463135289905</c:v>
                </c:pt>
                <c:pt idx="1">
                  <c:v>0.31130353092178198</c:v>
                </c:pt>
                <c:pt idx="2">
                  <c:v>0.32718226476886259</c:v>
                </c:pt>
                <c:pt idx="3">
                  <c:v>0.27904990132017832</c:v>
                </c:pt>
                <c:pt idx="4">
                  <c:v>0.20996505286528783</c:v>
                </c:pt>
                <c:pt idx="5">
                  <c:v>0.24061220937572603</c:v>
                </c:pt>
                <c:pt idx="6">
                  <c:v>0.21641240992390776</c:v>
                </c:pt>
                <c:pt idx="7">
                  <c:v>0.21136388666557704</c:v>
                </c:pt>
                <c:pt idx="8">
                  <c:v>0.30613284706765709</c:v>
                </c:pt>
                <c:pt idx="9">
                  <c:v>0.30969535711082541</c:v>
                </c:pt>
                <c:pt idx="10">
                  <c:v>0.29086717940168028</c:v>
                </c:pt>
                <c:pt idx="11">
                  <c:v>0.29543963722442462</c:v>
                </c:pt>
              </c:numCache>
            </c:numRef>
          </c:val>
        </c:ser>
        <c:ser>
          <c:idx val="0"/>
          <c:order val="2"/>
          <c:tx>
            <c:strRef>
              <c:f>'GAS '!$A$124</c:f>
              <c:strCache>
                <c:ptCount val="1"/>
                <c:pt idx="0">
                  <c:v>DTI%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'GAS '!$C$124:$N$124</c:f>
              <c:numCache>
                <c:formatCode>0%</c:formatCode>
                <c:ptCount val="12"/>
                <c:pt idx="0">
                  <c:v>0.18817465998568361</c:v>
                </c:pt>
                <c:pt idx="1">
                  <c:v>0.16607693935876458</c:v>
                </c:pt>
                <c:pt idx="2">
                  <c:v>0.17454969139690138</c:v>
                </c:pt>
                <c:pt idx="3">
                  <c:v>0.14887137661383529</c:v>
                </c:pt>
                <c:pt idx="4">
                  <c:v>8.0025435694038773E-3</c:v>
                </c:pt>
                <c:pt idx="5">
                  <c:v>9.170590463213427E-3</c:v>
                </c:pt>
                <c:pt idx="6">
                  <c:v>6.0320158567517178E-2</c:v>
                </c:pt>
                <c:pt idx="7">
                  <c:v>8.0558324465417226E-3</c:v>
                </c:pt>
                <c:pt idx="8">
                  <c:v>1.3167788474430828E-2</c:v>
                </c:pt>
                <c:pt idx="9">
                  <c:v>1.1779126431283446E-2</c:v>
                </c:pt>
                <c:pt idx="10">
                  <c:v>0.17611070437032902</c:v>
                </c:pt>
                <c:pt idx="11">
                  <c:v>0.18150186806605254</c:v>
                </c:pt>
              </c:numCache>
            </c:numRef>
          </c:val>
        </c:ser>
        <c:overlap val="100"/>
        <c:axId val="112033792"/>
        <c:axId val="112035328"/>
      </c:barChart>
      <c:dateAx>
        <c:axId val="112033792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035328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12035328"/>
        <c:scaling>
          <c:orientation val="minMax"/>
          <c:max val="1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6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</a:t>
                </a:r>
              </a:p>
            </c:rich>
          </c:tx>
          <c:layout>
            <c:manualLayout>
              <c:xMode val="edge"/>
              <c:yMode val="edge"/>
              <c:x val="1.2355199972993718E-2"/>
              <c:y val="0.48244722059919176"/>
            </c:manualLayout>
          </c:layout>
          <c:spPr>
            <a:noFill/>
            <a:ln w="25400">
              <a:noFill/>
            </a:ln>
          </c:spPr>
        </c:title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033792"/>
        <c:crosses val="autoZero"/>
        <c:crossBetween val="between"/>
        <c:minorUnit val="0.1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7915056839763461"/>
          <c:y val="0.95470205800246699"/>
          <c:w val="0.29961389472618177"/>
          <c:h val="3.737273123545071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3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6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Monthly Gas Purchases by Type</a:t>
            </a:r>
          </a:p>
        </c:rich>
      </c:tx>
      <c:layout>
        <c:manualLayout>
          <c:xMode val="edge"/>
          <c:yMode val="edge"/>
          <c:x val="0.40905484138087089"/>
          <c:y val="2.835555004443338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5782366957903228E-2"/>
          <c:y val="0.14177746107581041"/>
          <c:w val="0.88482922954725951"/>
          <c:h val="0.72022950226515792"/>
        </c:manualLayout>
      </c:layout>
      <c:barChart>
        <c:barDir val="col"/>
        <c:grouping val="stacked"/>
        <c:ser>
          <c:idx val="0"/>
          <c:order val="0"/>
          <c:tx>
            <c:strRef>
              <c:f>'GAS '!$A$94</c:f>
              <c:strCache>
                <c:ptCount val="1"/>
                <c:pt idx="0">
                  <c:v>MONTHLY INDEX TOTAL 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'GAS '!$C$94:$N$94</c:f>
              <c:numCache>
                <c:formatCode>#,##0</c:formatCode>
                <c:ptCount val="12"/>
                <c:pt idx="0">
                  <c:v>1005175</c:v>
                </c:pt>
                <c:pt idx="1">
                  <c:v>957159</c:v>
                </c:pt>
                <c:pt idx="2">
                  <c:v>877680</c:v>
                </c:pt>
                <c:pt idx="3">
                  <c:v>972718</c:v>
                </c:pt>
                <c:pt idx="4">
                  <c:v>654929</c:v>
                </c:pt>
                <c:pt idx="5">
                  <c:v>816261</c:v>
                </c:pt>
                <c:pt idx="6">
                  <c:v>738763</c:v>
                </c:pt>
                <c:pt idx="7">
                  <c:v>618599</c:v>
                </c:pt>
                <c:pt idx="8">
                  <c:v>252050</c:v>
                </c:pt>
                <c:pt idx="9">
                  <c:v>778470</c:v>
                </c:pt>
                <c:pt idx="10">
                  <c:v>836297</c:v>
                </c:pt>
                <c:pt idx="11">
                  <c:v>811890</c:v>
                </c:pt>
              </c:numCache>
            </c:numRef>
          </c:val>
        </c:ser>
        <c:ser>
          <c:idx val="1"/>
          <c:order val="1"/>
          <c:tx>
            <c:strRef>
              <c:f>'GAS '!$A$98</c:f>
              <c:strCache>
                <c:ptCount val="1"/>
                <c:pt idx="0">
                  <c:v>HEDGED TOTAL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'GAS '!$C$98:$N$98</c:f>
              <c:numCache>
                <c:formatCode>#,##0</c:formatCode>
                <c:ptCount val="12"/>
                <c:pt idx="0">
                  <c:v>77500</c:v>
                </c:pt>
                <c:pt idx="1">
                  <c:v>77500</c:v>
                </c:pt>
                <c:pt idx="2">
                  <c:v>75000</c:v>
                </c:pt>
                <c:pt idx="3">
                  <c:v>77500</c:v>
                </c:pt>
                <c:pt idx="4">
                  <c:v>390000</c:v>
                </c:pt>
                <c:pt idx="5">
                  <c:v>418500</c:v>
                </c:pt>
                <c:pt idx="6">
                  <c:v>573500</c:v>
                </c:pt>
                <c:pt idx="7">
                  <c:v>536500</c:v>
                </c:pt>
                <c:pt idx="8">
                  <c:v>558000</c:v>
                </c:pt>
                <c:pt idx="9">
                  <c:v>225000</c:v>
                </c:pt>
                <c:pt idx="10">
                  <c:v>248000</c:v>
                </c:pt>
                <c:pt idx="11">
                  <c:v>240000</c:v>
                </c:pt>
              </c:numCache>
            </c:numRef>
          </c:val>
        </c:ser>
        <c:ser>
          <c:idx val="2"/>
          <c:order val="2"/>
          <c:tx>
            <c:strRef>
              <c:f>'GAS '!$A$102</c:f>
              <c:strCache>
                <c:ptCount val="1"/>
                <c:pt idx="0">
                  <c:v>DAILY INDEX TOTAL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'GAS '!$C$102:$N$102</c:f>
              <c:numCache>
                <c:formatCode>#,##0</c:formatCode>
                <c:ptCount val="12"/>
                <c:pt idx="3">
                  <c:v>104020</c:v>
                </c:pt>
                <c:pt idx="4">
                  <c:v>439599</c:v>
                </c:pt>
                <c:pt idx="5">
                  <c:v>103866</c:v>
                </c:pt>
                <c:pt idx="6">
                  <c:v>176062</c:v>
                </c:pt>
                <c:pt idx="7">
                  <c:v>270452</c:v>
                </c:pt>
                <c:pt idx="8">
                  <c:v>122225</c:v>
                </c:pt>
                <c:pt idx="9">
                  <c:v>0</c:v>
                </c:pt>
                <c:pt idx="10">
                  <c:v>19327</c:v>
                </c:pt>
                <c:pt idx="11">
                  <c:v>0</c:v>
                </c:pt>
              </c:numCache>
            </c:numRef>
          </c:val>
        </c:ser>
        <c:overlap val="100"/>
        <c:axId val="112061440"/>
        <c:axId val="112141056"/>
      </c:barChart>
      <c:dateAx>
        <c:axId val="112061440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14105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1214105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</a:t>
                </a:r>
              </a:p>
            </c:rich>
          </c:tx>
          <c:layout>
            <c:manualLayout>
              <c:xMode val="edge"/>
              <c:yMode val="edge"/>
              <c:x val="1.2708520923935623E-2"/>
              <c:y val="0.47826254985843308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06144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5822084283262201"/>
          <c:y val="0.94140244280488572"/>
          <c:w val="0.33995235996964268"/>
          <c:h val="4.536879740426202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Monthly Gas Purchase%  by Type</a:t>
            </a:r>
          </a:p>
        </c:rich>
      </c:tx>
      <c:layout>
        <c:manualLayout>
          <c:xMode val="edge"/>
          <c:yMode val="edge"/>
          <c:x val="0.33819975822525788"/>
          <c:y val="2.497166652755065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381192325939265"/>
          <c:y val="0.12712826333711688"/>
          <c:w val="0.85401527493860063"/>
          <c:h val="0.7570942111237805"/>
        </c:manualLayout>
      </c:layout>
      <c:barChart>
        <c:barDir val="col"/>
        <c:grouping val="stacked"/>
        <c:ser>
          <c:idx val="0"/>
          <c:order val="0"/>
          <c:tx>
            <c:strRef>
              <c:f>'GAS '!$A$94</c:f>
              <c:strCache>
                <c:ptCount val="1"/>
                <c:pt idx="0">
                  <c:v>MONTHLY INDEX TOTAL 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'GAS '!$C$97:$N$97</c:f>
              <c:numCache>
                <c:formatCode>0%</c:formatCode>
                <c:ptCount val="12"/>
                <c:pt idx="0">
                  <c:v>0.92841803865425909</c:v>
                </c:pt>
                <c:pt idx="1">
                  <c:v>0.92509609446204011</c:v>
                </c:pt>
                <c:pt idx="2">
                  <c:v>0.92127471973800223</c:v>
                </c:pt>
                <c:pt idx="3">
                  <c:v>0.84273607349610735</c:v>
                </c:pt>
                <c:pt idx="4">
                  <c:v>0.44116985331364583</c:v>
                </c:pt>
                <c:pt idx="5">
                  <c:v>0.609774791633517</c:v>
                </c:pt>
                <c:pt idx="6">
                  <c:v>0.4963720961483547</c:v>
                </c:pt>
                <c:pt idx="7">
                  <c:v>0.43393677251813512</c:v>
                </c:pt>
                <c:pt idx="8">
                  <c:v>0.2703601405164785</c:v>
                </c:pt>
                <c:pt idx="9">
                  <c:v>0.77577805016592427</c:v>
                </c:pt>
                <c:pt idx="10">
                  <c:v>0.75777348082317886</c:v>
                </c:pt>
                <c:pt idx="11">
                  <c:v>0.77183926075920484</c:v>
                </c:pt>
              </c:numCache>
            </c:numRef>
          </c:val>
        </c:ser>
        <c:ser>
          <c:idx val="1"/>
          <c:order val="1"/>
          <c:tx>
            <c:strRef>
              <c:f>'GAS '!$A$98</c:f>
              <c:strCache>
                <c:ptCount val="1"/>
                <c:pt idx="0">
                  <c:v>HEDGED TOTAL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'GAS '!$C$101:$N$101</c:f>
              <c:numCache>
                <c:formatCode>0%</c:formatCode>
                <c:ptCount val="12"/>
                <c:pt idx="0">
                  <c:v>7.158196134574088E-2</c:v>
                </c:pt>
                <c:pt idx="1">
                  <c:v>7.490390553795985E-2</c:v>
                </c:pt>
                <c:pt idx="2">
                  <c:v>7.8725280261997738E-2</c:v>
                </c:pt>
                <c:pt idx="3">
                  <c:v>6.7143864610245033E-2</c:v>
                </c:pt>
                <c:pt idx="4">
                  <c:v>0.26270976364204651</c:v>
                </c:pt>
                <c:pt idx="5">
                  <c:v>0.31263376579136681</c:v>
                </c:pt>
                <c:pt idx="6">
                  <c:v>0.38533250466128027</c:v>
                </c:pt>
                <c:pt idx="7">
                  <c:v>0.37634570772985321</c:v>
                </c:pt>
                <c:pt idx="8">
                  <c:v>0.59853583974685576</c:v>
                </c:pt>
                <c:pt idx="9">
                  <c:v>0.22422194983407576</c:v>
                </c:pt>
                <c:pt idx="10">
                  <c:v>0.22471421426137889</c:v>
                </c:pt>
                <c:pt idx="11">
                  <c:v>0.22816073924079514</c:v>
                </c:pt>
              </c:numCache>
            </c:numRef>
          </c:val>
        </c:ser>
        <c:ser>
          <c:idx val="2"/>
          <c:order val="2"/>
          <c:tx>
            <c:strRef>
              <c:f>'GAS '!$A$102</c:f>
              <c:strCache>
                <c:ptCount val="1"/>
                <c:pt idx="0">
                  <c:v>DAILY INDEX TOTAL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'GAS '!$C$1:$N$1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'GAS '!$C$109:$N$109</c:f>
              <c:numCache>
                <c:formatCode>0%</c:formatCode>
                <c:ptCount val="12"/>
                <c:pt idx="3">
                  <c:v>9.0120061893647588E-2</c:v>
                </c:pt>
                <c:pt idx="4">
                  <c:v>0.29612038304430771</c:v>
                </c:pt>
                <c:pt idx="5">
                  <c:v>7.7591442575116146E-2</c:v>
                </c:pt>
                <c:pt idx="6">
                  <c:v>0.11829539919036501</c:v>
                </c:pt>
                <c:pt idx="7">
                  <c:v>0.18971751975201168</c:v>
                </c:pt>
                <c:pt idx="8">
                  <c:v>0.13110401973666569</c:v>
                </c:pt>
                <c:pt idx="9">
                  <c:v>0</c:v>
                </c:pt>
                <c:pt idx="10">
                  <c:v>1.7512304915442214E-2</c:v>
                </c:pt>
                <c:pt idx="11">
                  <c:v>0</c:v>
                </c:pt>
              </c:numCache>
            </c:numRef>
          </c:val>
        </c:ser>
        <c:overlap val="100"/>
        <c:axId val="112179456"/>
        <c:axId val="112193536"/>
      </c:barChart>
      <c:dateAx>
        <c:axId val="112179456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19353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12193536"/>
        <c:scaling>
          <c:orientation val="minMax"/>
          <c:max val="1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5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</a:t>
                </a:r>
              </a:p>
            </c:rich>
          </c:tx>
          <c:layout>
            <c:manualLayout>
              <c:xMode val="edge"/>
              <c:yMode val="edge"/>
              <c:x val="1.2976465078794608E-2"/>
              <c:y val="0.48240641297931963"/>
            </c:manualLayout>
          </c:layout>
          <c:spPr>
            <a:noFill/>
            <a:ln w="25400">
              <a:noFill/>
            </a:ln>
          </c:spPr>
        </c:title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17945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4817538471591474"/>
          <c:y val="0.9545970711258267"/>
          <c:w val="0.56447732000304951"/>
          <c:h val="3.745743796159758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3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5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Pipeline Demand Costs</a:t>
            </a:r>
          </a:p>
        </c:rich>
      </c:tx>
      <c:layout>
        <c:manualLayout>
          <c:xMode val="edge"/>
          <c:yMode val="edge"/>
          <c:x val="0.40786487936098809"/>
          <c:y val="2.657356509681580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5582241443959386E-2"/>
          <c:y val="0.13007028537556101"/>
          <c:w val="0.88126578351752749"/>
          <c:h val="0.75664542352890385"/>
        </c:manualLayout>
      </c:layout>
      <c:barChart>
        <c:barDir val="col"/>
        <c:grouping val="stacked"/>
        <c:ser>
          <c:idx val="1"/>
          <c:order val="0"/>
          <c:tx>
            <c:strRef>
              <c:f>DEMAND!$A$111</c:f>
              <c:strCache>
                <c:ptCount val="1"/>
                <c:pt idx="0">
                  <c:v>COL GULF</c:v>
                </c:pt>
              </c:strCache>
            </c:strRef>
          </c:tx>
          <c:spPr>
            <a:solidFill>
              <a:srgbClr val="80206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DEMAND!$B$2:$M$2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DEMAND!$B$111:$M$111</c:f>
              <c:numCache>
                <c:formatCode>"$"#,##0</c:formatCode>
                <c:ptCount val="12"/>
                <c:pt idx="0">
                  <c:v>286051.10340000002</c:v>
                </c:pt>
                <c:pt idx="1">
                  <c:v>286051.10340000002</c:v>
                </c:pt>
                <c:pt idx="2">
                  <c:v>286051.10340000002</c:v>
                </c:pt>
                <c:pt idx="3">
                  <c:v>286051.10340000002</c:v>
                </c:pt>
                <c:pt idx="4">
                  <c:v>223537.48619999998</c:v>
                </c:pt>
                <c:pt idx="5">
                  <c:v>223537.48619999998</c:v>
                </c:pt>
                <c:pt idx="6">
                  <c:v>223537.48619999998</c:v>
                </c:pt>
                <c:pt idx="7">
                  <c:v>223537.48619999998</c:v>
                </c:pt>
                <c:pt idx="8">
                  <c:v>223537.48619999998</c:v>
                </c:pt>
                <c:pt idx="9">
                  <c:v>223537.48619999998</c:v>
                </c:pt>
                <c:pt idx="10">
                  <c:v>223537.48619999998</c:v>
                </c:pt>
                <c:pt idx="11">
                  <c:v>223537.48619999998</c:v>
                </c:pt>
              </c:numCache>
            </c:numRef>
          </c:val>
        </c:ser>
        <c:ser>
          <c:idx val="0"/>
          <c:order val="1"/>
          <c:tx>
            <c:strRef>
              <c:f>DEMAND!$A$110</c:f>
              <c:strCache>
                <c:ptCount val="1"/>
                <c:pt idx="0">
                  <c:v>COL GAS (INCLUDES UDI)</c:v>
                </c:pt>
              </c:strCache>
            </c:strRef>
          </c:tx>
          <c:spPr>
            <a:solidFill>
              <a:srgbClr val="808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DEMAND!$B$2:$M$2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DEMAND!$B$110:$M$110</c:f>
              <c:numCache>
                <c:formatCode>"$"#,##0</c:formatCode>
                <c:ptCount val="12"/>
                <c:pt idx="0">
                  <c:v>661146.4683999999</c:v>
                </c:pt>
                <c:pt idx="1">
                  <c:v>661146.4683999999</c:v>
                </c:pt>
                <c:pt idx="2">
                  <c:v>665612.59840000002</c:v>
                </c:pt>
                <c:pt idx="3">
                  <c:v>803818.29639999999</c:v>
                </c:pt>
                <c:pt idx="4">
                  <c:v>803818.29639999999</c:v>
                </c:pt>
                <c:pt idx="5">
                  <c:v>803818.29639999999</c:v>
                </c:pt>
                <c:pt idx="6">
                  <c:v>803818.29639999999</c:v>
                </c:pt>
                <c:pt idx="7">
                  <c:v>804240.92440000002</c:v>
                </c:pt>
                <c:pt idx="8">
                  <c:v>804194.01139999984</c:v>
                </c:pt>
                <c:pt idx="9">
                  <c:v>665304.0088999999</c:v>
                </c:pt>
                <c:pt idx="10">
                  <c:v>665304.0088999999</c:v>
                </c:pt>
                <c:pt idx="11">
                  <c:v>665304.0088999999</c:v>
                </c:pt>
              </c:numCache>
            </c:numRef>
          </c:val>
        </c:ser>
        <c:ser>
          <c:idx val="3"/>
          <c:order val="2"/>
          <c:tx>
            <c:strRef>
              <c:f>DEMAND!$A$113</c:f>
              <c:strCache>
                <c:ptCount val="1"/>
                <c:pt idx="0">
                  <c:v>TRANSCO</c:v>
                </c:pt>
              </c:strCache>
            </c:strRef>
          </c:tx>
          <c:spPr>
            <a:solidFill>
              <a:srgbClr val="A0E0E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DEMAND!$B$2:$M$2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DEMAND!$B$113:$M$113</c:f>
              <c:numCache>
                <c:formatCode>"$"#,##0</c:formatCode>
                <c:ptCount val="12"/>
                <c:pt idx="0">
                  <c:v>130835.5003</c:v>
                </c:pt>
                <c:pt idx="1">
                  <c:v>125377.02224999999</c:v>
                </c:pt>
                <c:pt idx="2">
                  <c:v>121332.60249999999</c:v>
                </c:pt>
                <c:pt idx="3">
                  <c:v>125377.02224999999</c:v>
                </c:pt>
                <c:pt idx="4">
                  <c:v>121332.5925</c:v>
                </c:pt>
                <c:pt idx="5">
                  <c:v>125377.02225000002</c:v>
                </c:pt>
                <c:pt idx="6">
                  <c:v>125377.02225000002</c:v>
                </c:pt>
                <c:pt idx="7">
                  <c:v>117288.18</c:v>
                </c:pt>
                <c:pt idx="8">
                  <c:v>125377.02</c:v>
                </c:pt>
                <c:pt idx="9">
                  <c:v>121173</c:v>
                </c:pt>
                <c:pt idx="10">
                  <c:v>125212.09999999999</c:v>
                </c:pt>
                <c:pt idx="11">
                  <c:v>121173</c:v>
                </c:pt>
              </c:numCache>
            </c:numRef>
          </c:val>
        </c:ser>
        <c:ser>
          <c:idx val="5"/>
          <c:order val="3"/>
          <c:tx>
            <c:strRef>
              <c:f>DEMAND!#REF!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DEMAND!$B$2:$M$2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DEMAND!#REF!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4"/>
          <c:tx>
            <c:strRef>
              <c:f>DEMAND!$A$112</c:f>
              <c:strCache>
                <c:ptCount val="1"/>
                <c:pt idx="0">
                  <c:v>DTI</c:v>
                </c:pt>
              </c:strCache>
            </c:strRef>
          </c:tx>
          <c:spPr>
            <a:solidFill>
              <a:srgbClr val="FFFFC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DEMAND!$B$2:$M$2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DEMAND!$B$112:$M$112</c:f>
              <c:numCache>
                <c:formatCode>"$"#,##0</c:formatCode>
                <c:ptCount val="12"/>
                <c:pt idx="0">
                  <c:v>548329.34369999997</c:v>
                </c:pt>
                <c:pt idx="1">
                  <c:v>548329.34369999997</c:v>
                </c:pt>
                <c:pt idx="2">
                  <c:v>548329.34369999997</c:v>
                </c:pt>
                <c:pt idx="3">
                  <c:v>548329.34369999997</c:v>
                </c:pt>
                <c:pt idx="4">
                  <c:v>594908.90029999998</c:v>
                </c:pt>
                <c:pt idx="5">
                  <c:v>594908.90029999998</c:v>
                </c:pt>
                <c:pt idx="6">
                  <c:v>594908.90029999998</c:v>
                </c:pt>
                <c:pt idx="7">
                  <c:v>594908.90029999998</c:v>
                </c:pt>
                <c:pt idx="8">
                  <c:v>594908.90029999998</c:v>
                </c:pt>
                <c:pt idx="9">
                  <c:v>547797.31630000006</c:v>
                </c:pt>
                <c:pt idx="10">
                  <c:v>547797.31630000006</c:v>
                </c:pt>
                <c:pt idx="11">
                  <c:v>547797.31630000006</c:v>
                </c:pt>
              </c:numCache>
            </c:numRef>
          </c:val>
        </c:ser>
        <c:ser>
          <c:idx val="6"/>
          <c:order val="5"/>
          <c:tx>
            <c:strRef>
              <c:f>DEMAND!$A$114</c:f>
              <c:strCache>
                <c:ptCount val="1"/>
                <c:pt idx="0">
                  <c:v>VNG</c:v>
                </c:pt>
              </c:strCache>
            </c:strRef>
          </c:tx>
          <c:spPr>
            <a:solidFill>
              <a:srgbClr val="0080C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DEMAND!$B$2:$M$2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DEMAND!$B$114:$M$114</c:f>
              <c:numCache>
                <c:formatCode>"$"#,##0</c:formatCode>
                <c:ptCount val="12"/>
                <c:pt idx="0">
                  <c:v>62329.769472</c:v>
                </c:pt>
                <c:pt idx="1">
                  <c:v>57860.260331999998</c:v>
                </c:pt>
                <c:pt idx="2">
                  <c:v>62880.857688000004</c:v>
                </c:pt>
                <c:pt idx="3">
                  <c:v>71729.453737999997</c:v>
                </c:pt>
                <c:pt idx="4">
                  <c:v>55017.553411000001</c:v>
                </c:pt>
                <c:pt idx="5">
                  <c:v>70454.727469999998</c:v>
                </c:pt>
                <c:pt idx="6">
                  <c:v>66081.917339000007</c:v>
                </c:pt>
                <c:pt idx="7">
                  <c:v>59168.2</c:v>
                </c:pt>
                <c:pt idx="8">
                  <c:v>67500.87</c:v>
                </c:pt>
                <c:pt idx="9">
                  <c:v>64898.8</c:v>
                </c:pt>
                <c:pt idx="10">
                  <c:v>54646.01</c:v>
                </c:pt>
                <c:pt idx="11">
                  <c:v>57330.57</c:v>
                </c:pt>
              </c:numCache>
            </c:numRef>
          </c:val>
        </c:ser>
        <c:overlap val="100"/>
        <c:axId val="112304512"/>
        <c:axId val="112306048"/>
      </c:barChart>
      <c:dateAx>
        <c:axId val="112304512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306048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1230604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&quot;$&quot;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30451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9529724868306823"/>
          <c:y val="0.9524500874256"/>
          <c:w val="0.46106467460799438"/>
          <c:h val="3.776236243328801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Pipeline Demand Costs by Type</a:t>
            </a:r>
          </a:p>
        </c:rich>
      </c:tx>
      <c:layout>
        <c:manualLayout>
          <c:xMode val="edge"/>
          <c:yMode val="edge"/>
          <c:x val="0.40344082285222632"/>
          <c:y val="2.580650609022400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711509711428777"/>
          <c:y val="0.11741965075516821"/>
          <c:w val="0.85535705286886365"/>
          <c:h val="0.76387289282487403"/>
        </c:manualLayout>
      </c:layout>
      <c:barChart>
        <c:barDir val="col"/>
        <c:grouping val="stacked"/>
        <c:ser>
          <c:idx val="0"/>
          <c:order val="0"/>
          <c:tx>
            <c:strRef>
              <c:f>DEMAND!$A$48</c:f>
              <c:strCache>
                <c:ptCount val="1"/>
                <c:pt idx="0">
                  <c:v>TOTAL FT DEMAND COSTS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DEMAND!$B$2:$M$2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DEMAND!$B$48:$M$48</c:f>
              <c:numCache>
                <c:formatCode>"$"#,##0_);\("$"#,##0\)</c:formatCode>
                <c:ptCount val="12"/>
                <c:pt idx="0">
                  <c:v>1121044.9361719999</c:v>
                </c:pt>
                <c:pt idx="1">
                  <c:v>1111116.9489819999</c:v>
                </c:pt>
                <c:pt idx="2">
                  <c:v>1115151.866588</c:v>
                </c:pt>
                <c:pt idx="3">
                  <c:v>1128044.8823879999</c:v>
                </c:pt>
                <c:pt idx="4">
                  <c:v>1044634.746111</c:v>
                </c:pt>
                <c:pt idx="5">
                  <c:v>1064116.3499199999</c:v>
                </c:pt>
                <c:pt idx="6">
                  <c:v>1059743.5397890001</c:v>
                </c:pt>
                <c:pt idx="7">
                  <c:v>1046168.3922</c:v>
                </c:pt>
                <c:pt idx="8">
                  <c:v>1062589.9022000001</c:v>
                </c:pt>
                <c:pt idx="9">
                  <c:v>1055732.8332</c:v>
                </c:pt>
                <c:pt idx="10">
                  <c:v>1049519.1431999998</c:v>
                </c:pt>
                <c:pt idx="11">
                  <c:v>1048164.6032</c:v>
                </c:pt>
              </c:numCache>
            </c:numRef>
          </c:val>
        </c:ser>
        <c:ser>
          <c:idx val="1"/>
          <c:order val="1"/>
          <c:tx>
            <c:strRef>
              <c:f>DEMAND!$A$88</c:f>
              <c:strCache>
                <c:ptCount val="1"/>
                <c:pt idx="0">
                  <c:v>TOTAL STORAGE DEMAND &amp; CAPACITY COSTS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DEMAND!$B$2:$M$2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DEMAND!$B$88:$M$88</c:f>
              <c:numCache>
                <c:formatCode>"$"#,##0_);\("$"#,##0\)</c:formatCode>
                <c:ptCount val="12"/>
                <c:pt idx="0">
                  <c:v>234339.6911</c:v>
                </c:pt>
                <c:pt idx="1">
                  <c:v>234339.6911</c:v>
                </c:pt>
                <c:pt idx="2">
                  <c:v>234339.6911</c:v>
                </c:pt>
                <c:pt idx="3">
                  <c:v>234339.6911</c:v>
                </c:pt>
                <c:pt idx="4">
                  <c:v>234017.85269999999</c:v>
                </c:pt>
                <c:pt idx="5">
                  <c:v>234017.85269999999</c:v>
                </c:pt>
                <c:pt idx="6">
                  <c:v>234017.85269999999</c:v>
                </c:pt>
                <c:pt idx="7">
                  <c:v>234205.50469999999</c:v>
                </c:pt>
                <c:pt idx="8">
                  <c:v>234205.50469999999</c:v>
                </c:pt>
                <c:pt idx="9">
                  <c:v>234205.50469999999</c:v>
                </c:pt>
                <c:pt idx="10">
                  <c:v>234205.50469999999</c:v>
                </c:pt>
                <c:pt idx="11">
                  <c:v>234205.50469999999</c:v>
                </c:pt>
              </c:numCache>
            </c:numRef>
          </c:val>
        </c:ser>
        <c:ser>
          <c:idx val="2"/>
          <c:order val="2"/>
          <c:tx>
            <c:strRef>
              <c:f>DEMAND!$A$105</c:f>
              <c:strCache>
                <c:ptCount val="1"/>
                <c:pt idx="0">
                  <c:v>TOTAL LNG DEMAND &amp; CAPACITY COSTS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DEMAND!$B$2:$M$2</c:f>
              <c:numCache>
                <c:formatCode>mmm\-yy</c:formatCode>
                <c:ptCount val="12"/>
                <c:pt idx="0">
                  <c:v>40725</c:v>
                </c:pt>
                <c:pt idx="1">
                  <c:v>40756</c:v>
                </c:pt>
                <c:pt idx="2">
                  <c:v>40787</c:v>
                </c:pt>
                <c:pt idx="3">
                  <c:v>40817</c:v>
                </c:pt>
                <c:pt idx="4">
                  <c:v>40848</c:v>
                </c:pt>
                <c:pt idx="5">
                  <c:v>40878</c:v>
                </c:pt>
                <c:pt idx="6">
                  <c:v>40909</c:v>
                </c:pt>
                <c:pt idx="7">
                  <c:v>40940</c:v>
                </c:pt>
                <c:pt idx="8">
                  <c:v>40969</c:v>
                </c:pt>
                <c:pt idx="9">
                  <c:v>41000</c:v>
                </c:pt>
                <c:pt idx="10">
                  <c:v>41030</c:v>
                </c:pt>
                <c:pt idx="11">
                  <c:v>41061</c:v>
                </c:pt>
              </c:numCache>
            </c:numRef>
          </c:cat>
          <c:val>
            <c:numRef>
              <c:f>DEMAND!$B$105:$M$105</c:f>
              <c:numCache>
                <c:formatCode>"$"#,##0_);\("$"#,##0\)</c:formatCode>
                <c:ptCount val="12"/>
                <c:pt idx="0">
                  <c:v>54009.25</c:v>
                </c:pt>
                <c:pt idx="1">
                  <c:v>54009.25</c:v>
                </c:pt>
                <c:pt idx="2">
                  <c:v>54009.25</c:v>
                </c:pt>
                <c:pt idx="3">
                  <c:v>54009.25</c:v>
                </c:pt>
                <c:pt idx="4">
                  <c:v>54009.25</c:v>
                </c:pt>
                <c:pt idx="5">
                  <c:v>54009.25</c:v>
                </c:pt>
                <c:pt idx="6">
                  <c:v>54009.25</c:v>
                </c:pt>
                <c:pt idx="7">
                  <c:v>51503.25</c:v>
                </c:pt>
                <c:pt idx="8">
                  <c:v>51503.25</c:v>
                </c:pt>
                <c:pt idx="9">
                  <c:v>51503.25</c:v>
                </c:pt>
                <c:pt idx="10">
                  <c:v>51503.25</c:v>
                </c:pt>
                <c:pt idx="11">
                  <c:v>51503.25</c:v>
                </c:pt>
              </c:numCache>
            </c:numRef>
          </c:val>
        </c:ser>
        <c:overlap val="100"/>
        <c:axId val="108665856"/>
        <c:axId val="108684032"/>
      </c:barChart>
      <c:dateAx>
        <c:axId val="108665856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684032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0868403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&quot;$&quot;#,##0_);\(&quot;$&quot;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66585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4.5347960346564284E-2"/>
          <c:y val="0.95226052507511627"/>
          <c:w val="0.90852366858398015"/>
          <c:h val="3.870975913533587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20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chart" Target="../charts/chart41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5.xml"/><Relationship Id="rId2" Type="http://schemas.openxmlformats.org/officeDocument/2006/relationships/chart" Target="../charts/chart44.xml"/><Relationship Id="rId1" Type="http://schemas.openxmlformats.org/officeDocument/2006/relationships/chart" Target="../charts/chart43.xml"/><Relationship Id="rId5" Type="http://schemas.openxmlformats.org/officeDocument/2006/relationships/chart" Target="../charts/chart47.xml"/><Relationship Id="rId4" Type="http://schemas.openxmlformats.org/officeDocument/2006/relationships/chart" Target="../charts/chart46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5.xml"/><Relationship Id="rId13" Type="http://schemas.openxmlformats.org/officeDocument/2006/relationships/chart" Target="../charts/chart60.xml"/><Relationship Id="rId18" Type="http://schemas.openxmlformats.org/officeDocument/2006/relationships/chart" Target="../charts/chart65.xml"/><Relationship Id="rId26" Type="http://schemas.openxmlformats.org/officeDocument/2006/relationships/chart" Target="../charts/chart73.xml"/><Relationship Id="rId3" Type="http://schemas.openxmlformats.org/officeDocument/2006/relationships/chart" Target="../charts/chart50.xml"/><Relationship Id="rId21" Type="http://schemas.openxmlformats.org/officeDocument/2006/relationships/chart" Target="../charts/chart68.xml"/><Relationship Id="rId7" Type="http://schemas.openxmlformats.org/officeDocument/2006/relationships/chart" Target="../charts/chart54.xml"/><Relationship Id="rId12" Type="http://schemas.openxmlformats.org/officeDocument/2006/relationships/chart" Target="../charts/chart59.xml"/><Relationship Id="rId17" Type="http://schemas.openxmlformats.org/officeDocument/2006/relationships/chart" Target="../charts/chart64.xml"/><Relationship Id="rId25" Type="http://schemas.openxmlformats.org/officeDocument/2006/relationships/chart" Target="../charts/chart72.xml"/><Relationship Id="rId33" Type="http://schemas.openxmlformats.org/officeDocument/2006/relationships/chart" Target="../charts/chart80.xml"/><Relationship Id="rId2" Type="http://schemas.openxmlformats.org/officeDocument/2006/relationships/chart" Target="../charts/chart49.xml"/><Relationship Id="rId16" Type="http://schemas.openxmlformats.org/officeDocument/2006/relationships/chart" Target="../charts/chart63.xml"/><Relationship Id="rId20" Type="http://schemas.openxmlformats.org/officeDocument/2006/relationships/chart" Target="../charts/chart67.xml"/><Relationship Id="rId29" Type="http://schemas.openxmlformats.org/officeDocument/2006/relationships/chart" Target="../charts/chart76.xml"/><Relationship Id="rId1" Type="http://schemas.openxmlformats.org/officeDocument/2006/relationships/chart" Target="../charts/chart48.xml"/><Relationship Id="rId6" Type="http://schemas.openxmlformats.org/officeDocument/2006/relationships/chart" Target="../charts/chart53.xml"/><Relationship Id="rId11" Type="http://schemas.openxmlformats.org/officeDocument/2006/relationships/chart" Target="../charts/chart58.xml"/><Relationship Id="rId24" Type="http://schemas.openxmlformats.org/officeDocument/2006/relationships/chart" Target="../charts/chart71.xml"/><Relationship Id="rId32" Type="http://schemas.openxmlformats.org/officeDocument/2006/relationships/chart" Target="../charts/chart79.xml"/><Relationship Id="rId5" Type="http://schemas.openxmlformats.org/officeDocument/2006/relationships/chart" Target="../charts/chart52.xml"/><Relationship Id="rId15" Type="http://schemas.openxmlformats.org/officeDocument/2006/relationships/chart" Target="../charts/chart62.xml"/><Relationship Id="rId23" Type="http://schemas.openxmlformats.org/officeDocument/2006/relationships/chart" Target="../charts/chart70.xml"/><Relationship Id="rId28" Type="http://schemas.openxmlformats.org/officeDocument/2006/relationships/chart" Target="../charts/chart75.xml"/><Relationship Id="rId10" Type="http://schemas.openxmlformats.org/officeDocument/2006/relationships/chart" Target="../charts/chart57.xml"/><Relationship Id="rId19" Type="http://schemas.openxmlformats.org/officeDocument/2006/relationships/chart" Target="../charts/chart66.xml"/><Relationship Id="rId31" Type="http://schemas.openxmlformats.org/officeDocument/2006/relationships/chart" Target="../charts/chart78.xml"/><Relationship Id="rId4" Type="http://schemas.openxmlformats.org/officeDocument/2006/relationships/chart" Target="../charts/chart51.xml"/><Relationship Id="rId9" Type="http://schemas.openxmlformats.org/officeDocument/2006/relationships/chart" Target="../charts/chart56.xml"/><Relationship Id="rId14" Type="http://schemas.openxmlformats.org/officeDocument/2006/relationships/chart" Target="../charts/chart61.xml"/><Relationship Id="rId22" Type="http://schemas.openxmlformats.org/officeDocument/2006/relationships/chart" Target="../charts/chart69.xml"/><Relationship Id="rId27" Type="http://schemas.openxmlformats.org/officeDocument/2006/relationships/chart" Target="../charts/chart74.xml"/><Relationship Id="rId30" Type="http://schemas.openxmlformats.org/officeDocument/2006/relationships/chart" Target="../charts/chart77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1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4.xml"/><Relationship Id="rId2" Type="http://schemas.openxmlformats.org/officeDocument/2006/relationships/chart" Target="../charts/chart83.xml"/><Relationship Id="rId1" Type="http://schemas.openxmlformats.org/officeDocument/2006/relationships/chart" Target="../charts/chart82.xml"/><Relationship Id="rId4" Type="http://schemas.openxmlformats.org/officeDocument/2006/relationships/chart" Target="../charts/chart85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7.xml"/><Relationship Id="rId1" Type="http://schemas.openxmlformats.org/officeDocument/2006/relationships/chart" Target="../charts/chart8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457200</xdr:colOff>
      <xdr:row>28</xdr:row>
      <xdr:rowOff>38100</xdr:rowOff>
    </xdr:from>
    <xdr:to>
      <xdr:col>9</xdr:col>
      <xdr:colOff>590550</xdr:colOff>
      <xdr:row>29</xdr:row>
      <xdr:rowOff>66675</xdr:rowOff>
    </xdr:to>
    <xdr:sp macro="" textlink="">
      <xdr:nvSpPr>
        <xdr:cNvPr id="10285" name="Text Box 2"/>
        <xdr:cNvSpPr txBox="1">
          <a:spLocks noChangeArrowheads="1"/>
        </xdr:cNvSpPr>
      </xdr:nvSpPr>
      <xdr:spPr bwMode="auto">
        <a:xfrm>
          <a:off x="10820400" y="7239000"/>
          <a:ext cx="133350" cy="285750"/>
        </a:xfrm>
        <a:prstGeom prst="rect">
          <a:avLst/>
        </a:prstGeom>
        <a:noFill/>
        <a:ln w="9525" algn="ctr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0</xdr:rowOff>
    </xdr:from>
    <xdr:to>
      <xdr:col>0</xdr:col>
      <xdr:colOff>0</xdr:colOff>
      <xdr:row>86</xdr:row>
      <xdr:rowOff>180975</xdr:rowOff>
    </xdr:to>
    <xdr:graphicFrame macro="">
      <xdr:nvGraphicFramePr>
        <xdr:cNvPr id="228605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92</xdr:row>
      <xdr:rowOff>28575</xdr:rowOff>
    </xdr:from>
    <xdr:to>
      <xdr:col>0</xdr:col>
      <xdr:colOff>0</xdr:colOff>
      <xdr:row>108</xdr:row>
      <xdr:rowOff>0</xdr:rowOff>
    </xdr:to>
    <xdr:graphicFrame macro="">
      <xdr:nvGraphicFramePr>
        <xdr:cNvPr id="2286051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30</xdr:row>
      <xdr:rowOff>180975</xdr:rowOff>
    </xdr:to>
    <xdr:graphicFrame macro="">
      <xdr:nvGraphicFramePr>
        <xdr:cNvPr id="2286052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114</xdr:row>
      <xdr:rowOff>9525</xdr:rowOff>
    </xdr:from>
    <xdr:to>
      <xdr:col>0</xdr:col>
      <xdr:colOff>0</xdr:colOff>
      <xdr:row>133</xdr:row>
      <xdr:rowOff>190500</xdr:rowOff>
    </xdr:to>
    <xdr:graphicFrame macro="">
      <xdr:nvGraphicFramePr>
        <xdr:cNvPr id="2286053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30</xdr:row>
      <xdr:rowOff>190500</xdr:rowOff>
    </xdr:to>
    <xdr:graphicFrame macro="">
      <xdr:nvGraphicFramePr>
        <xdr:cNvPr id="2286054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68</xdr:row>
      <xdr:rowOff>0</xdr:rowOff>
    </xdr:from>
    <xdr:to>
      <xdr:col>0</xdr:col>
      <xdr:colOff>0</xdr:colOff>
      <xdr:row>86</xdr:row>
      <xdr:rowOff>190500</xdr:rowOff>
    </xdr:to>
    <xdr:graphicFrame macro="">
      <xdr:nvGraphicFramePr>
        <xdr:cNvPr id="2286055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92</xdr:row>
      <xdr:rowOff>0</xdr:rowOff>
    </xdr:from>
    <xdr:to>
      <xdr:col>0</xdr:col>
      <xdr:colOff>0</xdr:colOff>
      <xdr:row>107</xdr:row>
      <xdr:rowOff>180975</xdr:rowOff>
    </xdr:to>
    <xdr:graphicFrame macro="">
      <xdr:nvGraphicFramePr>
        <xdr:cNvPr id="2286056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114</xdr:row>
      <xdr:rowOff>0</xdr:rowOff>
    </xdr:from>
    <xdr:to>
      <xdr:col>0</xdr:col>
      <xdr:colOff>0</xdr:colOff>
      <xdr:row>133</xdr:row>
      <xdr:rowOff>190500</xdr:rowOff>
    </xdr:to>
    <xdr:graphicFrame macro="">
      <xdr:nvGraphicFramePr>
        <xdr:cNvPr id="2286057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31</xdr:row>
      <xdr:rowOff>0</xdr:rowOff>
    </xdr:to>
    <xdr:graphicFrame macro="">
      <xdr:nvGraphicFramePr>
        <xdr:cNvPr id="2286058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68</xdr:row>
      <xdr:rowOff>0</xdr:rowOff>
    </xdr:from>
    <xdr:to>
      <xdr:col>0</xdr:col>
      <xdr:colOff>0</xdr:colOff>
      <xdr:row>87</xdr:row>
      <xdr:rowOff>0</xdr:rowOff>
    </xdr:to>
    <xdr:graphicFrame macro="">
      <xdr:nvGraphicFramePr>
        <xdr:cNvPr id="2286059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92</xdr:row>
      <xdr:rowOff>0</xdr:rowOff>
    </xdr:from>
    <xdr:to>
      <xdr:col>0</xdr:col>
      <xdr:colOff>0</xdr:colOff>
      <xdr:row>107</xdr:row>
      <xdr:rowOff>190500</xdr:rowOff>
    </xdr:to>
    <xdr:graphicFrame macro="">
      <xdr:nvGraphicFramePr>
        <xdr:cNvPr id="2286060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114</xdr:row>
      <xdr:rowOff>76200</xdr:rowOff>
    </xdr:from>
    <xdr:to>
      <xdr:col>0</xdr:col>
      <xdr:colOff>0</xdr:colOff>
      <xdr:row>134</xdr:row>
      <xdr:rowOff>76200</xdr:rowOff>
    </xdr:to>
    <xdr:graphicFrame macro="">
      <xdr:nvGraphicFramePr>
        <xdr:cNvPr id="2286061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137</xdr:row>
      <xdr:rowOff>171450</xdr:rowOff>
    </xdr:from>
    <xdr:to>
      <xdr:col>0</xdr:col>
      <xdr:colOff>0</xdr:colOff>
      <xdr:row>156</xdr:row>
      <xdr:rowOff>19050</xdr:rowOff>
    </xdr:to>
    <xdr:graphicFrame macro="">
      <xdr:nvGraphicFramePr>
        <xdr:cNvPr id="2286062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31</xdr:row>
      <xdr:rowOff>0</xdr:rowOff>
    </xdr:to>
    <xdr:graphicFrame macro="">
      <xdr:nvGraphicFramePr>
        <xdr:cNvPr id="2286063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68</xdr:row>
      <xdr:rowOff>0</xdr:rowOff>
    </xdr:from>
    <xdr:to>
      <xdr:col>0</xdr:col>
      <xdr:colOff>0</xdr:colOff>
      <xdr:row>87</xdr:row>
      <xdr:rowOff>0</xdr:rowOff>
    </xdr:to>
    <xdr:graphicFrame macro="">
      <xdr:nvGraphicFramePr>
        <xdr:cNvPr id="2286064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92</xdr:row>
      <xdr:rowOff>0</xdr:rowOff>
    </xdr:from>
    <xdr:to>
      <xdr:col>0</xdr:col>
      <xdr:colOff>0</xdr:colOff>
      <xdr:row>107</xdr:row>
      <xdr:rowOff>190500</xdr:rowOff>
    </xdr:to>
    <xdr:graphicFrame macro="">
      <xdr:nvGraphicFramePr>
        <xdr:cNvPr id="2286065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114</xdr:row>
      <xdr:rowOff>0</xdr:rowOff>
    </xdr:from>
    <xdr:to>
      <xdr:col>0</xdr:col>
      <xdr:colOff>0</xdr:colOff>
      <xdr:row>134</xdr:row>
      <xdr:rowOff>0</xdr:rowOff>
    </xdr:to>
    <xdr:graphicFrame macro="">
      <xdr:nvGraphicFramePr>
        <xdr:cNvPr id="2286066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68</xdr:row>
      <xdr:rowOff>0</xdr:rowOff>
    </xdr:from>
    <xdr:to>
      <xdr:col>4</xdr:col>
      <xdr:colOff>400050</xdr:colOff>
      <xdr:row>87</xdr:row>
      <xdr:rowOff>0</xdr:rowOff>
    </xdr:to>
    <xdr:graphicFrame macro="">
      <xdr:nvGraphicFramePr>
        <xdr:cNvPr id="2286067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92</xdr:row>
      <xdr:rowOff>0</xdr:rowOff>
    </xdr:from>
    <xdr:to>
      <xdr:col>4</xdr:col>
      <xdr:colOff>438150</xdr:colOff>
      <xdr:row>107</xdr:row>
      <xdr:rowOff>190500</xdr:rowOff>
    </xdr:to>
    <xdr:graphicFrame macro="">
      <xdr:nvGraphicFramePr>
        <xdr:cNvPr id="2286068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114</xdr:row>
      <xdr:rowOff>0</xdr:rowOff>
    </xdr:from>
    <xdr:to>
      <xdr:col>4</xdr:col>
      <xdr:colOff>400050</xdr:colOff>
      <xdr:row>134</xdr:row>
      <xdr:rowOff>0</xdr:rowOff>
    </xdr:to>
    <xdr:graphicFrame macro="">
      <xdr:nvGraphicFramePr>
        <xdr:cNvPr id="2286069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23</xdr:col>
      <xdr:colOff>0</xdr:colOff>
      <xdr:row>12</xdr:row>
      <xdr:rowOff>0</xdr:rowOff>
    </xdr:from>
    <xdr:to>
      <xdr:col>31</xdr:col>
      <xdr:colOff>371475</xdr:colOff>
      <xdr:row>31</xdr:row>
      <xdr:rowOff>0</xdr:rowOff>
    </xdr:to>
    <xdr:graphicFrame macro="">
      <xdr:nvGraphicFramePr>
        <xdr:cNvPr id="2286070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23</xdr:col>
      <xdr:colOff>0</xdr:colOff>
      <xdr:row>68</xdr:row>
      <xdr:rowOff>0</xdr:rowOff>
    </xdr:from>
    <xdr:to>
      <xdr:col>31</xdr:col>
      <xdr:colOff>323850</xdr:colOff>
      <xdr:row>87</xdr:row>
      <xdr:rowOff>0</xdr:rowOff>
    </xdr:to>
    <xdr:graphicFrame macro="">
      <xdr:nvGraphicFramePr>
        <xdr:cNvPr id="2286071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23</xdr:col>
      <xdr:colOff>0</xdr:colOff>
      <xdr:row>92</xdr:row>
      <xdr:rowOff>0</xdr:rowOff>
    </xdr:from>
    <xdr:to>
      <xdr:col>31</xdr:col>
      <xdr:colOff>609600</xdr:colOff>
      <xdr:row>107</xdr:row>
      <xdr:rowOff>190500</xdr:rowOff>
    </xdr:to>
    <xdr:graphicFrame macro="">
      <xdr:nvGraphicFramePr>
        <xdr:cNvPr id="2286072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23</xdr:col>
      <xdr:colOff>0</xdr:colOff>
      <xdr:row>114</xdr:row>
      <xdr:rowOff>0</xdr:rowOff>
    </xdr:from>
    <xdr:to>
      <xdr:col>29</xdr:col>
      <xdr:colOff>409575</xdr:colOff>
      <xdr:row>134</xdr:row>
      <xdr:rowOff>0</xdr:rowOff>
    </xdr:to>
    <xdr:graphicFrame macro="">
      <xdr:nvGraphicFramePr>
        <xdr:cNvPr id="2286073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135</xdr:row>
      <xdr:rowOff>0</xdr:rowOff>
    </xdr:from>
    <xdr:to>
      <xdr:col>0</xdr:col>
      <xdr:colOff>0</xdr:colOff>
      <xdr:row>137</xdr:row>
      <xdr:rowOff>114300</xdr:rowOff>
    </xdr:to>
    <xdr:graphicFrame macro="">
      <xdr:nvGraphicFramePr>
        <xdr:cNvPr id="2286074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39</xdr:col>
      <xdr:colOff>0</xdr:colOff>
      <xdr:row>12</xdr:row>
      <xdr:rowOff>0</xdr:rowOff>
    </xdr:from>
    <xdr:to>
      <xdr:col>47</xdr:col>
      <xdr:colOff>371475</xdr:colOff>
      <xdr:row>31</xdr:row>
      <xdr:rowOff>0</xdr:rowOff>
    </xdr:to>
    <xdr:graphicFrame macro="">
      <xdr:nvGraphicFramePr>
        <xdr:cNvPr id="2286075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39</xdr:col>
      <xdr:colOff>0</xdr:colOff>
      <xdr:row>68</xdr:row>
      <xdr:rowOff>0</xdr:rowOff>
    </xdr:from>
    <xdr:to>
      <xdr:col>47</xdr:col>
      <xdr:colOff>323850</xdr:colOff>
      <xdr:row>87</xdr:row>
      <xdr:rowOff>0</xdr:rowOff>
    </xdr:to>
    <xdr:graphicFrame macro="">
      <xdr:nvGraphicFramePr>
        <xdr:cNvPr id="2286076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39</xdr:col>
      <xdr:colOff>0</xdr:colOff>
      <xdr:row>92</xdr:row>
      <xdr:rowOff>0</xdr:rowOff>
    </xdr:from>
    <xdr:to>
      <xdr:col>47</xdr:col>
      <xdr:colOff>609600</xdr:colOff>
      <xdr:row>107</xdr:row>
      <xdr:rowOff>190500</xdr:rowOff>
    </xdr:to>
    <xdr:graphicFrame macro="">
      <xdr:nvGraphicFramePr>
        <xdr:cNvPr id="2286077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39</xdr:col>
      <xdr:colOff>0</xdr:colOff>
      <xdr:row>114</xdr:row>
      <xdr:rowOff>0</xdr:rowOff>
    </xdr:from>
    <xdr:to>
      <xdr:col>45</xdr:col>
      <xdr:colOff>409575</xdr:colOff>
      <xdr:row>134</xdr:row>
      <xdr:rowOff>0</xdr:rowOff>
    </xdr:to>
    <xdr:graphicFrame macro="">
      <xdr:nvGraphicFramePr>
        <xdr:cNvPr id="2286078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36</xdr:row>
      <xdr:rowOff>95250</xdr:rowOff>
    </xdr:from>
    <xdr:to>
      <xdr:col>4</xdr:col>
      <xdr:colOff>609600</xdr:colOff>
      <xdr:row>54</xdr:row>
      <xdr:rowOff>209550</xdr:rowOff>
    </xdr:to>
    <xdr:graphicFrame macro="">
      <xdr:nvGraphicFramePr>
        <xdr:cNvPr id="2286079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95250</xdr:colOff>
      <xdr:row>135</xdr:row>
      <xdr:rowOff>0</xdr:rowOff>
    </xdr:from>
    <xdr:to>
      <xdr:col>6</xdr:col>
      <xdr:colOff>533400</xdr:colOff>
      <xdr:row>135</xdr:row>
      <xdr:rowOff>0</xdr:rowOff>
    </xdr:to>
    <xdr:graphicFrame macro="">
      <xdr:nvGraphicFramePr>
        <xdr:cNvPr id="2286080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114300</xdr:colOff>
      <xdr:row>68</xdr:row>
      <xdr:rowOff>57150</xdr:rowOff>
    </xdr:from>
    <xdr:to>
      <xdr:col>13</xdr:col>
      <xdr:colOff>628650</xdr:colOff>
      <xdr:row>86</xdr:row>
      <xdr:rowOff>209550</xdr:rowOff>
    </xdr:to>
    <xdr:graphicFrame macro="">
      <xdr:nvGraphicFramePr>
        <xdr:cNvPr id="2286081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266700</xdr:colOff>
      <xdr:row>216</xdr:row>
      <xdr:rowOff>57150</xdr:rowOff>
    </xdr:from>
    <xdr:to>
      <xdr:col>6</xdr:col>
      <xdr:colOff>571500</xdr:colOff>
      <xdr:row>236</xdr:row>
      <xdr:rowOff>152400</xdr:rowOff>
    </xdr:to>
    <xdr:graphicFrame macro="">
      <xdr:nvGraphicFramePr>
        <xdr:cNvPr id="2286082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285750</xdr:colOff>
      <xdr:row>11</xdr:row>
      <xdr:rowOff>190500</xdr:rowOff>
    </xdr:from>
    <xdr:to>
      <xdr:col>4</xdr:col>
      <xdr:colOff>533400</xdr:colOff>
      <xdr:row>31</xdr:row>
      <xdr:rowOff>38100</xdr:rowOff>
    </xdr:to>
    <xdr:graphicFrame macro="">
      <xdr:nvGraphicFramePr>
        <xdr:cNvPr id="2286083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5</xdr:col>
      <xdr:colOff>38100</xdr:colOff>
      <xdr:row>11</xdr:row>
      <xdr:rowOff>190500</xdr:rowOff>
    </xdr:from>
    <xdr:to>
      <xdr:col>13</xdr:col>
      <xdr:colOff>533400</xdr:colOff>
      <xdr:row>31</xdr:row>
      <xdr:rowOff>38100</xdr:rowOff>
    </xdr:to>
    <xdr:graphicFrame macro="">
      <xdr:nvGraphicFramePr>
        <xdr:cNvPr id="2286084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14</xdr:col>
      <xdr:colOff>209550</xdr:colOff>
      <xdr:row>11</xdr:row>
      <xdr:rowOff>228600</xdr:rowOff>
    </xdr:from>
    <xdr:to>
      <xdr:col>21</xdr:col>
      <xdr:colOff>85725</xdr:colOff>
      <xdr:row>31</xdr:row>
      <xdr:rowOff>76200</xdr:rowOff>
    </xdr:to>
    <xdr:graphicFrame macro="">
      <xdr:nvGraphicFramePr>
        <xdr:cNvPr id="2286085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14</xdr:col>
      <xdr:colOff>19050</xdr:colOff>
      <xdr:row>68</xdr:row>
      <xdr:rowOff>0</xdr:rowOff>
    </xdr:from>
    <xdr:to>
      <xdr:col>20</xdr:col>
      <xdr:colOff>1123950</xdr:colOff>
      <xdr:row>87</xdr:row>
      <xdr:rowOff>104775</xdr:rowOff>
    </xdr:to>
    <xdr:graphicFrame macro="">
      <xdr:nvGraphicFramePr>
        <xdr:cNvPr id="2286086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0</xdr:col>
      <xdr:colOff>190500</xdr:colOff>
      <xdr:row>138</xdr:row>
      <xdr:rowOff>247650</xdr:rowOff>
    </xdr:from>
    <xdr:to>
      <xdr:col>4</xdr:col>
      <xdr:colOff>381000</xdr:colOff>
      <xdr:row>159</xdr:row>
      <xdr:rowOff>0</xdr:rowOff>
    </xdr:to>
    <xdr:graphicFrame macro="">
      <xdr:nvGraphicFramePr>
        <xdr:cNvPr id="2286087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15</xdr:col>
      <xdr:colOff>933450</xdr:colOff>
      <xdr:row>0</xdr:row>
      <xdr:rowOff>133350</xdr:rowOff>
    </xdr:from>
    <xdr:to>
      <xdr:col>20</xdr:col>
      <xdr:colOff>457200</xdr:colOff>
      <xdr:row>10</xdr:row>
      <xdr:rowOff>209550</xdr:rowOff>
    </xdr:to>
    <xdr:graphicFrame macro="">
      <xdr:nvGraphicFramePr>
        <xdr:cNvPr id="42" name="Chart 4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23</xdr:col>
      <xdr:colOff>0</xdr:colOff>
      <xdr:row>140</xdr:row>
      <xdr:rowOff>0</xdr:rowOff>
    </xdr:from>
    <xdr:to>
      <xdr:col>27</xdr:col>
      <xdr:colOff>514350</xdr:colOff>
      <xdr:row>160</xdr:row>
      <xdr:rowOff>19050</xdr:rowOff>
    </xdr:to>
    <xdr:graphicFrame macro="">
      <xdr:nvGraphicFramePr>
        <xdr:cNvPr id="41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39</xdr:col>
      <xdr:colOff>0</xdr:colOff>
      <xdr:row>139</xdr:row>
      <xdr:rowOff>0</xdr:rowOff>
    </xdr:from>
    <xdr:to>
      <xdr:col>43</xdr:col>
      <xdr:colOff>419100</xdr:colOff>
      <xdr:row>159</xdr:row>
      <xdr:rowOff>19050</xdr:rowOff>
    </xdr:to>
    <xdr:graphicFrame macro="">
      <xdr:nvGraphicFramePr>
        <xdr:cNvPr id="43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914400</xdr:colOff>
      <xdr:row>5</xdr:row>
      <xdr:rowOff>247650</xdr:rowOff>
    </xdr:from>
    <xdr:to>
      <xdr:col>6</xdr:col>
      <xdr:colOff>419100</xdr:colOff>
      <xdr:row>25</xdr:row>
      <xdr:rowOff>95250</xdr:rowOff>
    </xdr:to>
    <xdr:graphicFrame macro="">
      <xdr:nvGraphicFramePr>
        <xdr:cNvPr id="174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100</xdr:row>
      <xdr:rowOff>95250</xdr:rowOff>
    </xdr:from>
    <xdr:to>
      <xdr:col>9</xdr:col>
      <xdr:colOff>304800</xdr:colOff>
      <xdr:row>126</xdr:row>
      <xdr:rowOff>133350</xdr:rowOff>
    </xdr:to>
    <xdr:graphicFrame macro="">
      <xdr:nvGraphicFramePr>
        <xdr:cNvPr id="1658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295275</xdr:colOff>
      <xdr:row>128</xdr:row>
      <xdr:rowOff>142875</xdr:rowOff>
    </xdr:from>
    <xdr:to>
      <xdr:col>9</xdr:col>
      <xdr:colOff>323850</xdr:colOff>
      <xdr:row>154</xdr:row>
      <xdr:rowOff>104775</xdr:rowOff>
    </xdr:to>
    <xdr:graphicFrame macro="">
      <xdr:nvGraphicFramePr>
        <xdr:cNvPr id="1658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209550</xdr:colOff>
      <xdr:row>8</xdr:row>
      <xdr:rowOff>19050</xdr:rowOff>
    </xdr:from>
    <xdr:to>
      <xdr:col>9</xdr:col>
      <xdr:colOff>723900</xdr:colOff>
      <xdr:row>33</xdr:row>
      <xdr:rowOff>0</xdr:rowOff>
    </xdr:to>
    <xdr:graphicFrame macro="">
      <xdr:nvGraphicFramePr>
        <xdr:cNvPr id="1658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266700</xdr:colOff>
      <xdr:row>38</xdr:row>
      <xdr:rowOff>38100</xdr:rowOff>
    </xdr:from>
    <xdr:to>
      <xdr:col>9</xdr:col>
      <xdr:colOff>552450</xdr:colOff>
      <xdr:row>63</xdr:row>
      <xdr:rowOff>171450</xdr:rowOff>
    </xdr:to>
    <xdr:graphicFrame macro="">
      <xdr:nvGraphicFramePr>
        <xdr:cNvPr id="1658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495300</xdr:colOff>
      <xdr:row>68</xdr:row>
      <xdr:rowOff>19050</xdr:rowOff>
    </xdr:from>
    <xdr:to>
      <xdr:col>9</xdr:col>
      <xdr:colOff>76200</xdr:colOff>
      <xdr:row>94</xdr:row>
      <xdr:rowOff>228600</xdr:rowOff>
    </xdr:to>
    <xdr:graphicFrame macro="">
      <xdr:nvGraphicFramePr>
        <xdr:cNvPr id="1658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4</xdr:row>
      <xdr:rowOff>152400</xdr:rowOff>
    </xdr:from>
    <xdr:to>
      <xdr:col>7</xdr:col>
      <xdr:colOff>57150</xdr:colOff>
      <xdr:row>28</xdr:row>
      <xdr:rowOff>0</xdr:rowOff>
    </xdr:to>
    <xdr:graphicFrame macro="">
      <xdr:nvGraphicFramePr>
        <xdr:cNvPr id="249281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685800</xdr:colOff>
      <xdr:row>63</xdr:row>
      <xdr:rowOff>133350</xdr:rowOff>
    </xdr:from>
    <xdr:to>
      <xdr:col>7</xdr:col>
      <xdr:colOff>723900</xdr:colOff>
      <xdr:row>88</xdr:row>
      <xdr:rowOff>209550</xdr:rowOff>
    </xdr:to>
    <xdr:graphicFrame macro="">
      <xdr:nvGraphicFramePr>
        <xdr:cNvPr id="249281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38100</xdr:colOff>
      <xdr:row>93</xdr:row>
      <xdr:rowOff>95250</xdr:rowOff>
    </xdr:from>
    <xdr:to>
      <xdr:col>7</xdr:col>
      <xdr:colOff>152400</xdr:colOff>
      <xdr:row>118</xdr:row>
      <xdr:rowOff>76200</xdr:rowOff>
    </xdr:to>
    <xdr:graphicFrame macro="">
      <xdr:nvGraphicFramePr>
        <xdr:cNvPr id="249281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123</xdr:row>
      <xdr:rowOff>152400</xdr:rowOff>
    </xdr:from>
    <xdr:to>
      <xdr:col>7</xdr:col>
      <xdr:colOff>38100</xdr:colOff>
      <xdr:row>148</xdr:row>
      <xdr:rowOff>209550</xdr:rowOff>
    </xdr:to>
    <xdr:graphicFrame macro="">
      <xdr:nvGraphicFramePr>
        <xdr:cNvPr id="249281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153</xdr:row>
      <xdr:rowOff>171450</xdr:rowOff>
    </xdr:from>
    <xdr:to>
      <xdr:col>6</xdr:col>
      <xdr:colOff>1028700</xdr:colOff>
      <xdr:row>178</xdr:row>
      <xdr:rowOff>57150</xdr:rowOff>
    </xdr:to>
    <xdr:graphicFrame macro="">
      <xdr:nvGraphicFramePr>
        <xdr:cNvPr id="249281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19050</xdr:colOff>
      <xdr:row>183</xdr:row>
      <xdr:rowOff>133350</xdr:rowOff>
    </xdr:from>
    <xdr:to>
      <xdr:col>6</xdr:col>
      <xdr:colOff>990600</xdr:colOff>
      <xdr:row>209</xdr:row>
      <xdr:rowOff>19050</xdr:rowOff>
    </xdr:to>
    <xdr:graphicFrame macro="">
      <xdr:nvGraphicFramePr>
        <xdr:cNvPr id="249281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19050</xdr:colOff>
      <xdr:row>213</xdr:row>
      <xdr:rowOff>57150</xdr:rowOff>
    </xdr:from>
    <xdr:to>
      <xdr:col>6</xdr:col>
      <xdr:colOff>933450</xdr:colOff>
      <xdr:row>238</xdr:row>
      <xdr:rowOff>247650</xdr:rowOff>
    </xdr:to>
    <xdr:graphicFrame macro="">
      <xdr:nvGraphicFramePr>
        <xdr:cNvPr id="2492818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0</xdr:colOff>
      <xdr:row>123</xdr:row>
      <xdr:rowOff>114300</xdr:rowOff>
    </xdr:from>
    <xdr:to>
      <xdr:col>16</xdr:col>
      <xdr:colOff>0</xdr:colOff>
      <xdr:row>148</xdr:row>
      <xdr:rowOff>133350</xdr:rowOff>
    </xdr:to>
    <xdr:graphicFrame macro="">
      <xdr:nvGraphicFramePr>
        <xdr:cNvPr id="2492819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0</xdr:colOff>
      <xdr:row>4</xdr:row>
      <xdr:rowOff>152400</xdr:rowOff>
    </xdr:from>
    <xdr:to>
      <xdr:col>16</xdr:col>
      <xdr:colOff>0</xdr:colOff>
      <xdr:row>28</xdr:row>
      <xdr:rowOff>57150</xdr:rowOff>
    </xdr:to>
    <xdr:graphicFrame macro="">
      <xdr:nvGraphicFramePr>
        <xdr:cNvPr id="2492820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16</xdr:col>
      <xdr:colOff>0</xdr:colOff>
      <xdr:row>33</xdr:row>
      <xdr:rowOff>152400</xdr:rowOff>
    </xdr:from>
    <xdr:to>
      <xdr:col>16</xdr:col>
      <xdr:colOff>0</xdr:colOff>
      <xdr:row>58</xdr:row>
      <xdr:rowOff>114300</xdr:rowOff>
    </xdr:to>
    <xdr:graphicFrame macro="">
      <xdr:nvGraphicFramePr>
        <xdr:cNvPr id="2492821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16</xdr:col>
      <xdr:colOff>0</xdr:colOff>
      <xdr:row>63</xdr:row>
      <xdr:rowOff>171450</xdr:rowOff>
    </xdr:from>
    <xdr:to>
      <xdr:col>16</xdr:col>
      <xdr:colOff>0</xdr:colOff>
      <xdr:row>88</xdr:row>
      <xdr:rowOff>152400</xdr:rowOff>
    </xdr:to>
    <xdr:graphicFrame macro="">
      <xdr:nvGraphicFramePr>
        <xdr:cNvPr id="2492822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0</xdr:colOff>
      <xdr:row>93</xdr:row>
      <xdr:rowOff>95250</xdr:rowOff>
    </xdr:from>
    <xdr:to>
      <xdr:col>16</xdr:col>
      <xdr:colOff>0</xdr:colOff>
      <xdr:row>118</xdr:row>
      <xdr:rowOff>38100</xdr:rowOff>
    </xdr:to>
    <xdr:graphicFrame macro="">
      <xdr:nvGraphicFramePr>
        <xdr:cNvPr id="2492823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16</xdr:col>
      <xdr:colOff>0</xdr:colOff>
      <xdr:row>154</xdr:row>
      <xdr:rowOff>95250</xdr:rowOff>
    </xdr:from>
    <xdr:to>
      <xdr:col>16</xdr:col>
      <xdr:colOff>0</xdr:colOff>
      <xdr:row>178</xdr:row>
      <xdr:rowOff>133350</xdr:rowOff>
    </xdr:to>
    <xdr:graphicFrame macro="">
      <xdr:nvGraphicFramePr>
        <xdr:cNvPr id="2492824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16</xdr:col>
      <xdr:colOff>0</xdr:colOff>
      <xdr:row>184</xdr:row>
      <xdr:rowOff>0</xdr:rowOff>
    </xdr:from>
    <xdr:to>
      <xdr:col>16</xdr:col>
      <xdr:colOff>0</xdr:colOff>
      <xdr:row>208</xdr:row>
      <xdr:rowOff>133350</xdr:rowOff>
    </xdr:to>
    <xdr:graphicFrame macro="">
      <xdr:nvGraphicFramePr>
        <xdr:cNvPr id="2492825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16</xdr:col>
      <xdr:colOff>0</xdr:colOff>
      <xdr:row>213</xdr:row>
      <xdr:rowOff>171450</xdr:rowOff>
    </xdr:from>
    <xdr:to>
      <xdr:col>16</xdr:col>
      <xdr:colOff>0</xdr:colOff>
      <xdr:row>238</xdr:row>
      <xdr:rowOff>133350</xdr:rowOff>
    </xdr:to>
    <xdr:graphicFrame macro="">
      <xdr:nvGraphicFramePr>
        <xdr:cNvPr id="2492826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16</xdr:col>
      <xdr:colOff>0</xdr:colOff>
      <xdr:row>243</xdr:row>
      <xdr:rowOff>152400</xdr:rowOff>
    </xdr:from>
    <xdr:to>
      <xdr:col>16</xdr:col>
      <xdr:colOff>0</xdr:colOff>
      <xdr:row>268</xdr:row>
      <xdr:rowOff>76200</xdr:rowOff>
    </xdr:to>
    <xdr:graphicFrame macro="">
      <xdr:nvGraphicFramePr>
        <xdr:cNvPr id="2492827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19050</xdr:colOff>
      <xdr:row>244</xdr:row>
      <xdr:rowOff>133350</xdr:rowOff>
    </xdr:from>
    <xdr:to>
      <xdr:col>6</xdr:col>
      <xdr:colOff>876300</xdr:colOff>
      <xdr:row>270</xdr:row>
      <xdr:rowOff>133350</xdr:rowOff>
    </xdr:to>
    <xdr:graphicFrame macro="">
      <xdr:nvGraphicFramePr>
        <xdr:cNvPr id="2492828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16</xdr:col>
      <xdr:colOff>0</xdr:colOff>
      <xdr:row>123</xdr:row>
      <xdr:rowOff>28575</xdr:rowOff>
    </xdr:from>
    <xdr:to>
      <xdr:col>16</xdr:col>
      <xdr:colOff>0</xdr:colOff>
      <xdr:row>148</xdr:row>
      <xdr:rowOff>133350</xdr:rowOff>
    </xdr:to>
    <xdr:graphicFrame macro="">
      <xdr:nvGraphicFramePr>
        <xdr:cNvPr id="249282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16</xdr:col>
      <xdr:colOff>0</xdr:colOff>
      <xdr:row>4</xdr:row>
      <xdr:rowOff>0</xdr:rowOff>
    </xdr:from>
    <xdr:to>
      <xdr:col>16</xdr:col>
      <xdr:colOff>0</xdr:colOff>
      <xdr:row>28</xdr:row>
      <xdr:rowOff>57150</xdr:rowOff>
    </xdr:to>
    <xdr:graphicFrame macro="">
      <xdr:nvGraphicFramePr>
        <xdr:cNvPr id="249283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0</xdr:colOff>
      <xdr:row>33</xdr:row>
      <xdr:rowOff>0</xdr:rowOff>
    </xdr:from>
    <xdr:to>
      <xdr:col>16</xdr:col>
      <xdr:colOff>0</xdr:colOff>
      <xdr:row>58</xdr:row>
      <xdr:rowOff>114300</xdr:rowOff>
    </xdr:to>
    <xdr:graphicFrame macro="">
      <xdr:nvGraphicFramePr>
        <xdr:cNvPr id="249283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16</xdr:col>
      <xdr:colOff>0</xdr:colOff>
      <xdr:row>63</xdr:row>
      <xdr:rowOff>0</xdr:rowOff>
    </xdr:from>
    <xdr:to>
      <xdr:col>16</xdr:col>
      <xdr:colOff>0</xdr:colOff>
      <xdr:row>88</xdr:row>
      <xdr:rowOff>152400</xdr:rowOff>
    </xdr:to>
    <xdr:graphicFrame macro="">
      <xdr:nvGraphicFramePr>
        <xdr:cNvPr id="249283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16</xdr:col>
      <xdr:colOff>0</xdr:colOff>
      <xdr:row>93</xdr:row>
      <xdr:rowOff>95250</xdr:rowOff>
    </xdr:from>
    <xdr:to>
      <xdr:col>16</xdr:col>
      <xdr:colOff>0</xdr:colOff>
      <xdr:row>118</xdr:row>
      <xdr:rowOff>38100</xdr:rowOff>
    </xdr:to>
    <xdr:graphicFrame macro="">
      <xdr:nvGraphicFramePr>
        <xdr:cNvPr id="2492833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16</xdr:col>
      <xdr:colOff>0</xdr:colOff>
      <xdr:row>153</xdr:row>
      <xdr:rowOff>114300</xdr:rowOff>
    </xdr:from>
    <xdr:to>
      <xdr:col>16</xdr:col>
      <xdr:colOff>0</xdr:colOff>
      <xdr:row>178</xdr:row>
      <xdr:rowOff>133350</xdr:rowOff>
    </xdr:to>
    <xdr:graphicFrame macro="">
      <xdr:nvGraphicFramePr>
        <xdr:cNvPr id="2492834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16</xdr:col>
      <xdr:colOff>0</xdr:colOff>
      <xdr:row>183</xdr:row>
      <xdr:rowOff>0</xdr:rowOff>
    </xdr:from>
    <xdr:to>
      <xdr:col>16</xdr:col>
      <xdr:colOff>0</xdr:colOff>
      <xdr:row>208</xdr:row>
      <xdr:rowOff>133350</xdr:rowOff>
    </xdr:to>
    <xdr:graphicFrame macro="">
      <xdr:nvGraphicFramePr>
        <xdr:cNvPr id="2492835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16</xdr:col>
      <xdr:colOff>0</xdr:colOff>
      <xdr:row>213</xdr:row>
      <xdr:rowOff>0</xdr:rowOff>
    </xdr:from>
    <xdr:to>
      <xdr:col>16</xdr:col>
      <xdr:colOff>0</xdr:colOff>
      <xdr:row>238</xdr:row>
      <xdr:rowOff>133350</xdr:rowOff>
    </xdr:to>
    <xdr:graphicFrame macro="">
      <xdr:nvGraphicFramePr>
        <xdr:cNvPr id="2492836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16</xdr:col>
      <xdr:colOff>0</xdr:colOff>
      <xdr:row>243</xdr:row>
      <xdr:rowOff>0</xdr:rowOff>
    </xdr:from>
    <xdr:to>
      <xdr:col>16</xdr:col>
      <xdr:colOff>0</xdr:colOff>
      <xdr:row>268</xdr:row>
      <xdr:rowOff>76200</xdr:rowOff>
    </xdr:to>
    <xdr:graphicFrame macro="">
      <xdr:nvGraphicFramePr>
        <xdr:cNvPr id="2492837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247650</xdr:colOff>
      <xdr:row>286</xdr:row>
      <xdr:rowOff>247650</xdr:rowOff>
    </xdr:from>
    <xdr:to>
      <xdr:col>6</xdr:col>
      <xdr:colOff>876300</xdr:colOff>
      <xdr:row>307</xdr:row>
      <xdr:rowOff>133350</xdr:rowOff>
    </xdr:to>
    <xdr:graphicFrame macro="">
      <xdr:nvGraphicFramePr>
        <xdr:cNvPr id="2492838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266700</xdr:colOff>
      <xdr:row>308</xdr:row>
      <xdr:rowOff>114300</xdr:rowOff>
    </xdr:from>
    <xdr:to>
      <xdr:col>6</xdr:col>
      <xdr:colOff>857250</xdr:colOff>
      <xdr:row>328</xdr:row>
      <xdr:rowOff>85725</xdr:rowOff>
    </xdr:to>
    <xdr:graphicFrame macro="">
      <xdr:nvGraphicFramePr>
        <xdr:cNvPr id="2492839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342900</xdr:colOff>
      <xdr:row>329</xdr:row>
      <xdr:rowOff>114300</xdr:rowOff>
    </xdr:from>
    <xdr:to>
      <xdr:col>6</xdr:col>
      <xdr:colOff>819150</xdr:colOff>
      <xdr:row>350</xdr:row>
      <xdr:rowOff>19050</xdr:rowOff>
    </xdr:to>
    <xdr:graphicFrame macro="">
      <xdr:nvGraphicFramePr>
        <xdr:cNvPr id="2492840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133350</xdr:colOff>
      <xdr:row>369</xdr:row>
      <xdr:rowOff>133350</xdr:rowOff>
    </xdr:from>
    <xdr:to>
      <xdr:col>5</xdr:col>
      <xdr:colOff>800100</xdr:colOff>
      <xdr:row>390</xdr:row>
      <xdr:rowOff>152400</xdr:rowOff>
    </xdr:to>
    <xdr:graphicFrame macro="">
      <xdr:nvGraphicFramePr>
        <xdr:cNvPr id="2492841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17</xdr:col>
      <xdr:colOff>133350</xdr:colOff>
      <xdr:row>0</xdr:row>
      <xdr:rowOff>171450</xdr:rowOff>
    </xdr:from>
    <xdr:to>
      <xdr:col>26</xdr:col>
      <xdr:colOff>628650</xdr:colOff>
      <xdr:row>19</xdr:row>
      <xdr:rowOff>209550</xdr:rowOff>
    </xdr:to>
    <xdr:graphicFrame macro="">
      <xdr:nvGraphicFramePr>
        <xdr:cNvPr id="2492842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17</xdr:col>
      <xdr:colOff>95250</xdr:colOff>
      <xdr:row>20</xdr:row>
      <xdr:rowOff>114300</xdr:rowOff>
    </xdr:from>
    <xdr:to>
      <xdr:col>26</xdr:col>
      <xdr:colOff>666750</xdr:colOff>
      <xdr:row>39</xdr:row>
      <xdr:rowOff>152400</xdr:rowOff>
    </xdr:to>
    <xdr:graphicFrame macro="">
      <xdr:nvGraphicFramePr>
        <xdr:cNvPr id="2492843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 editAs="oneCell">
    <xdr:from>
      <xdr:col>18</xdr:col>
      <xdr:colOff>685800</xdr:colOff>
      <xdr:row>18</xdr:row>
      <xdr:rowOff>114300</xdr:rowOff>
    </xdr:from>
    <xdr:to>
      <xdr:col>19</xdr:col>
      <xdr:colOff>57150</xdr:colOff>
      <xdr:row>19</xdr:row>
      <xdr:rowOff>142875</xdr:rowOff>
    </xdr:to>
    <xdr:sp macro="" textlink="">
      <xdr:nvSpPr>
        <xdr:cNvPr id="2492844" name="Text Box 48"/>
        <xdr:cNvSpPr txBox="1">
          <a:spLocks noChangeArrowheads="1"/>
        </xdr:cNvSpPr>
      </xdr:nvSpPr>
      <xdr:spPr bwMode="auto">
        <a:xfrm>
          <a:off x="21755100" y="4743450"/>
          <a:ext cx="133350" cy="285750"/>
        </a:xfrm>
        <a:prstGeom prst="rect">
          <a:avLst/>
        </a:prstGeom>
        <a:noFill/>
        <a:ln w="9525" algn="ctr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114300</xdr:colOff>
      <xdr:row>12</xdr:row>
      <xdr:rowOff>76200</xdr:rowOff>
    </xdr:from>
    <xdr:to>
      <xdr:col>26</xdr:col>
      <xdr:colOff>476250</xdr:colOff>
      <xdr:row>13</xdr:row>
      <xdr:rowOff>247650</xdr:rowOff>
    </xdr:to>
    <xdr:sp macro="" textlink="">
      <xdr:nvSpPr>
        <xdr:cNvPr id="19505" name="Text Box 49"/>
        <xdr:cNvSpPr txBox="1">
          <a:spLocks noChangeArrowheads="1"/>
        </xdr:cNvSpPr>
      </xdr:nvSpPr>
      <xdr:spPr bwMode="auto">
        <a:xfrm>
          <a:off x="26650950" y="3276600"/>
          <a:ext cx="1123950" cy="43815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Helv"/>
            </a:rPr>
            <a:t>Actual  -12% 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Helv"/>
            </a:rPr>
            <a:t> Nrmlzdf  -5%</a:t>
          </a:r>
        </a:p>
        <a:p>
          <a:pPr algn="l" rtl="0">
            <a:defRPr sz="1000"/>
          </a:pPr>
          <a:endParaRPr lang="en-US" sz="1200" b="0" i="0" u="none" strike="noStrike" baseline="0">
            <a:solidFill>
              <a:srgbClr val="000000"/>
            </a:solidFill>
            <a:latin typeface="Helv"/>
          </a:endParaRPr>
        </a:p>
      </xdr:txBody>
    </xdr:sp>
    <xdr:clientData/>
  </xdr:twoCellAnchor>
  <xdr:twoCellAnchor>
    <xdr:from>
      <xdr:col>25</xdr:col>
      <xdr:colOff>171450</xdr:colOff>
      <xdr:row>27</xdr:row>
      <xdr:rowOff>209550</xdr:rowOff>
    </xdr:from>
    <xdr:to>
      <xdr:col>26</xdr:col>
      <xdr:colOff>342900</xdr:colOff>
      <xdr:row>29</xdr:row>
      <xdr:rowOff>209550</xdr:rowOff>
    </xdr:to>
    <xdr:sp macro="" textlink="">
      <xdr:nvSpPr>
        <xdr:cNvPr id="19506" name="Text Box 50"/>
        <xdr:cNvSpPr txBox="1">
          <a:spLocks noChangeArrowheads="1"/>
        </xdr:cNvSpPr>
      </xdr:nvSpPr>
      <xdr:spPr bwMode="auto">
        <a:xfrm>
          <a:off x="26708100" y="7410450"/>
          <a:ext cx="933450" cy="533400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Helv"/>
            </a:rPr>
            <a:t>Actuals -5%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Helv"/>
            </a:rPr>
            <a:t>Nrmlzd -3%</a:t>
          </a:r>
        </a:p>
        <a:p>
          <a:pPr algn="l" rtl="0">
            <a:defRPr sz="1000"/>
          </a:pPr>
          <a:endParaRPr lang="en-US" sz="1200" b="0" i="0" u="none" strike="noStrike" baseline="0">
            <a:solidFill>
              <a:srgbClr val="000000"/>
            </a:solidFill>
            <a:latin typeface="Helv"/>
          </a:endParaRPr>
        </a:p>
      </xdr:txBody>
    </xdr:sp>
    <xdr:clientData/>
  </xdr:twoCellAnchor>
  <xdr:twoCellAnchor>
    <xdr:from>
      <xdr:col>0</xdr:col>
      <xdr:colOff>0</xdr:colOff>
      <xdr:row>34</xdr:row>
      <xdr:rowOff>0</xdr:rowOff>
    </xdr:from>
    <xdr:to>
      <xdr:col>6</xdr:col>
      <xdr:colOff>1009650</xdr:colOff>
      <xdr:row>56</xdr:row>
      <xdr:rowOff>247650</xdr:rowOff>
    </xdr:to>
    <xdr:graphicFrame macro="">
      <xdr:nvGraphicFramePr>
        <xdr:cNvPr id="3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0.67403</cdr:x>
      <cdr:y>0.23285</cdr:y>
    </cdr:from>
    <cdr:to>
      <cdr:x>0.72319</cdr:x>
      <cdr:y>0.30531</cdr:y>
    </cdr:to>
    <cdr:sp macro="" textlink="">
      <cdr:nvSpPr>
        <cdr:cNvPr id="2048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7523" y="1564570"/>
          <a:ext cx="36056" cy="48586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100" b="0" i="0" u="none" strike="noStrike" baseline="0">
              <a:solidFill>
                <a:srgbClr val="000000"/>
              </a:solidFill>
              <a:latin typeface="Arial"/>
              <a:cs typeface="Arial"/>
            </a:rPr>
            <a:t>Actuals             -6%</a:t>
          </a:r>
        </a:p>
        <a:p xmlns:a="http://schemas.openxmlformats.org/drawingml/2006/main">
          <a:pPr algn="l" rtl="0">
            <a:defRPr sz="1000"/>
          </a:pPr>
          <a:r>
            <a:rPr lang="en-US" sz="100" b="0" i="0" u="none" strike="noStrike" baseline="0">
              <a:solidFill>
                <a:srgbClr val="000000"/>
              </a:solidFill>
              <a:latin typeface="Arial"/>
              <a:cs typeface="Arial"/>
            </a:rPr>
            <a:t>Normalized  -6%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0.67903</cdr:x>
      <cdr:y>0.26467</cdr:y>
    </cdr:from>
    <cdr:to>
      <cdr:x>0.72036</cdr:x>
      <cdr:y>0.34968</cdr:y>
    </cdr:to>
    <cdr:sp macro="" textlink="">
      <cdr:nvSpPr>
        <cdr:cNvPr id="2150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01192" y="1762824"/>
          <a:ext cx="30313" cy="56521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100" b="0" i="0" u="none" strike="noStrike" baseline="0">
              <a:solidFill>
                <a:srgbClr val="000000"/>
              </a:solidFill>
              <a:latin typeface="Arial"/>
              <a:cs typeface="Arial"/>
            </a:rPr>
            <a:t>Actuals  2%</a:t>
          </a:r>
        </a:p>
        <a:p xmlns:a="http://schemas.openxmlformats.org/drawingml/2006/main">
          <a:pPr algn="l" rtl="0">
            <a:defRPr sz="1000"/>
          </a:pPr>
          <a:r>
            <a:rPr lang="en-US" sz="100" b="0" i="0" u="none" strike="noStrike" baseline="0">
              <a:solidFill>
                <a:srgbClr val="000000"/>
              </a:solidFill>
              <a:latin typeface="Arial"/>
              <a:cs typeface="Arial"/>
            </a:rPr>
            <a:t>Normalized  2%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0.6712</cdr:x>
      <cdr:y>0.09699</cdr:y>
    </cdr:from>
    <cdr:to>
      <cdr:x>0.72036</cdr:x>
      <cdr:y>0.19682</cdr:y>
    </cdr:to>
    <cdr:sp macro="" textlink="">
      <cdr:nvSpPr>
        <cdr:cNvPr id="26625" name="Text Box 2049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5448" y="660948"/>
          <a:ext cx="36057" cy="67701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100" b="0" i="0" u="none" strike="noStrike" baseline="0">
              <a:solidFill>
                <a:srgbClr val="000000"/>
              </a:solidFill>
              <a:latin typeface="Arial"/>
              <a:cs typeface="Arial"/>
            </a:rPr>
            <a:t>Actuals             -14%</a:t>
          </a:r>
        </a:p>
        <a:p xmlns:a="http://schemas.openxmlformats.org/drawingml/2006/main">
          <a:pPr algn="l" rtl="0">
            <a:defRPr sz="1000"/>
          </a:pPr>
          <a:r>
            <a:rPr lang="en-US" sz="100" b="0" i="0" u="none" strike="noStrike" baseline="0">
              <a:solidFill>
                <a:srgbClr val="000000"/>
              </a:solidFill>
              <a:latin typeface="Arial"/>
              <a:cs typeface="Arial"/>
            </a:rPr>
            <a:t>Normalized  -2%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0.68381</cdr:x>
      <cdr:y>0.23328</cdr:y>
    </cdr:from>
    <cdr:to>
      <cdr:x>0.72493</cdr:x>
      <cdr:y>0.32202</cdr:y>
    </cdr:to>
    <cdr:sp macro="" textlink="">
      <cdr:nvSpPr>
        <cdr:cNvPr id="27649" name="Text Box 2049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04702" y="1594107"/>
          <a:ext cx="30154" cy="6052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18288" tIns="18288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sz="100" b="0" i="0" u="none" strike="noStrike" baseline="0">
              <a:solidFill>
                <a:srgbClr val="000000"/>
              </a:solidFill>
              <a:latin typeface="Arial"/>
              <a:cs typeface="Arial"/>
            </a:rPr>
            <a:t>Actuals -4%</a:t>
          </a:r>
        </a:p>
        <a:p xmlns:a="http://schemas.openxmlformats.org/drawingml/2006/main">
          <a:pPr algn="l" rtl="0">
            <a:defRPr sz="1000"/>
          </a:pPr>
          <a:r>
            <a:rPr lang="en-US" sz="100" b="0" i="0" u="none" strike="noStrike" baseline="0">
              <a:solidFill>
                <a:srgbClr val="000000"/>
              </a:solidFill>
              <a:latin typeface="Arial"/>
              <a:cs typeface="Arial"/>
            </a:rPr>
            <a:t>Normalised  1%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257174</xdr:colOff>
      <xdr:row>94</xdr:row>
      <xdr:rowOff>19050</xdr:rowOff>
    </xdr:from>
    <xdr:to>
      <xdr:col>14</xdr:col>
      <xdr:colOff>761999</xdr:colOff>
      <xdr:row>114</xdr:row>
      <xdr:rowOff>238125</xdr:rowOff>
    </xdr:to>
    <xdr:graphicFrame macro="">
      <xdr:nvGraphicFramePr>
        <xdr:cNvPr id="2" name="Chart 4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114300</xdr:colOff>
      <xdr:row>0</xdr:row>
      <xdr:rowOff>76200</xdr:rowOff>
    </xdr:from>
    <xdr:to>
      <xdr:col>76</xdr:col>
      <xdr:colOff>57150</xdr:colOff>
      <xdr:row>19</xdr:row>
      <xdr:rowOff>95250</xdr:rowOff>
    </xdr:to>
    <xdr:graphicFrame macro="">
      <xdr:nvGraphicFramePr>
        <xdr:cNvPr id="938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26</xdr:col>
      <xdr:colOff>95250</xdr:colOff>
      <xdr:row>21</xdr:row>
      <xdr:rowOff>209550</xdr:rowOff>
    </xdr:from>
    <xdr:to>
      <xdr:col>76</xdr:col>
      <xdr:colOff>38100</xdr:colOff>
      <xdr:row>53</xdr:row>
      <xdr:rowOff>66675</xdr:rowOff>
    </xdr:to>
    <xdr:graphicFrame macro="">
      <xdr:nvGraphicFramePr>
        <xdr:cNvPr id="938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80</xdr:col>
      <xdr:colOff>19050</xdr:colOff>
      <xdr:row>0</xdr:row>
      <xdr:rowOff>152400</xdr:rowOff>
    </xdr:from>
    <xdr:to>
      <xdr:col>112</xdr:col>
      <xdr:colOff>476250</xdr:colOff>
      <xdr:row>19</xdr:row>
      <xdr:rowOff>104775</xdr:rowOff>
    </xdr:to>
    <xdr:graphicFrame macro="">
      <xdr:nvGraphicFramePr>
        <xdr:cNvPr id="938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79</xdr:col>
      <xdr:colOff>228600</xdr:colOff>
      <xdr:row>22</xdr:row>
      <xdr:rowOff>38100</xdr:rowOff>
    </xdr:from>
    <xdr:to>
      <xdr:col>112</xdr:col>
      <xdr:colOff>180975</xdr:colOff>
      <xdr:row>53</xdr:row>
      <xdr:rowOff>152400</xdr:rowOff>
    </xdr:to>
    <xdr:graphicFrame macro="">
      <xdr:nvGraphicFramePr>
        <xdr:cNvPr id="938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129</xdr:row>
      <xdr:rowOff>0</xdr:rowOff>
    </xdr:from>
    <xdr:to>
      <xdr:col>13</xdr:col>
      <xdr:colOff>1028700</xdr:colOff>
      <xdr:row>154</xdr:row>
      <xdr:rowOff>133350</xdr:rowOff>
    </xdr:to>
    <xdr:graphicFrame macro="">
      <xdr:nvGraphicFramePr>
        <xdr:cNvPr id="827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133350</xdr:colOff>
      <xdr:row>157</xdr:row>
      <xdr:rowOff>171450</xdr:rowOff>
    </xdr:from>
    <xdr:to>
      <xdr:col>13</xdr:col>
      <xdr:colOff>857250</xdr:colOff>
      <xdr:row>185</xdr:row>
      <xdr:rowOff>76200</xdr:rowOff>
    </xdr:to>
    <xdr:graphicFrame macro="">
      <xdr:nvGraphicFramePr>
        <xdr:cNvPr id="8279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aspurch\GasCosts\HEDGE\HEDG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aspurch\GasCosts\Annual\FY1113\1113pgc9Aug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aspurch\GasCosts\Annual\FY0809\0911pgc9Jun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1214pgcFYend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aspurch\GasCosts\Annual\FY1113\1113pgc12Jul1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ULF INDEXES"/>
      <sheetName val="NYMEX "/>
      <sheetName val="NYMEX OPTIONS"/>
      <sheetName val="FUTURESOURCE "/>
      <sheetName val="HEDGING REQS "/>
      <sheetName val="HEDGING LIMITS "/>
      <sheetName val="NON-PGC HEDGE"/>
      <sheetName val="NYMEX FUTURE YRS  "/>
      <sheetName val="NYMEX - YR GRAPH"/>
      <sheetName val="PGC HEDGING SUMMARY"/>
      <sheetName val="HEDGES - DETAILS"/>
      <sheetName val="HEDGE - RESULTS"/>
      <sheetName val="STORAGE"/>
      <sheetName val="RATE &amp; BUDGET IMPACT "/>
    </sheetNames>
    <sheetDataSet>
      <sheetData sheetId="0"/>
      <sheetData sheetId="1">
        <row r="20">
          <cell r="AG20">
            <v>9.0347500000000007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23">
          <cell r="N423">
            <v>-115000</v>
          </cell>
        </row>
        <row r="500">
          <cell r="N500">
            <v>0</v>
          </cell>
        </row>
      </sheetData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WORKBOOK NOTES"/>
      <sheetName val="HEDGE REPORT"/>
      <sheetName val="YR SUMMARIES"/>
      <sheetName val="YR REPORTS"/>
      <sheetName val="FIN OPS REV VOL VS YR REPORTS"/>
      <sheetName val="PGC GRAPHS"/>
      <sheetName val="NONPGC GRAPHS"/>
      <sheetName val="TOTAL GRAPHS"/>
      <sheetName val="NON-PGC HEDGE "/>
      <sheetName val="MCFS"/>
      <sheetName val="MCFS GRAPHS"/>
      <sheetName val="FT GAS"/>
      <sheetName val="FSS"/>
      <sheetName val="GSS-09"/>
      <sheetName val="GSS-97"/>
      <sheetName val="GSS-62"/>
      <sheetName val="GSS-TOT"/>
      <sheetName val="STORAGE TOT"/>
      <sheetName val="GAS "/>
      <sheetName val="TRANSPORT"/>
      <sheetName val="DEMAND"/>
    </sheetNames>
    <sheetDataSet>
      <sheetData sheetId="0"/>
      <sheetData sheetId="1"/>
      <sheetData sheetId="2">
        <row r="12">
          <cell r="I12">
            <v>6.3694994941633212</v>
          </cell>
        </row>
      </sheetData>
      <sheetData sheetId="3">
        <row r="90">
          <cell r="O90">
            <v>8358228.9481306747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WORKBOOK NOTES"/>
      <sheetName val="HEDGE REPORT"/>
      <sheetName val="YR SUMMARIES"/>
      <sheetName val="YR REPORTS"/>
      <sheetName val="FIN OPS REV VOL VS YR REPORTS"/>
      <sheetName val="PGC GRAPHS"/>
      <sheetName val="NONPGC GRAPHS"/>
      <sheetName val="TOTAL GRAPHS"/>
      <sheetName val="NON-PGC HEDGE "/>
      <sheetName val="MCFS"/>
      <sheetName val="MCFS GRAPHS"/>
      <sheetName val="FT GAS"/>
      <sheetName val="FSS"/>
      <sheetName val="GSS-09"/>
      <sheetName val="GSS-97"/>
      <sheetName val="GSS-62"/>
      <sheetName val="GSS-TOT"/>
      <sheetName val="STORAGE TOT"/>
      <sheetName val="GAS "/>
      <sheetName val="TRANSPORT"/>
      <sheetName val="DEMAND"/>
    </sheetNames>
    <sheetDataSet>
      <sheetData sheetId="0"/>
      <sheetData sheetId="1"/>
      <sheetData sheetId="2"/>
      <sheetData sheetId="3">
        <row r="14">
          <cell r="AK14">
            <v>7207544.4341806555</v>
          </cell>
          <cell r="AL14">
            <v>7555533.0219534757</v>
          </cell>
          <cell r="AM14">
            <v>7053736.2243253794</v>
          </cell>
          <cell r="AN14">
            <v>9827205.3349409644</v>
          </cell>
          <cell r="AO14">
            <v>13334949.813303942</v>
          </cell>
          <cell r="AP14">
            <v>12665537.437015593</v>
          </cell>
          <cell r="AQ14">
            <v>14698588.187076695</v>
          </cell>
          <cell r="AR14">
            <v>13064461.201165771</v>
          </cell>
          <cell r="AS14">
            <v>13000551.774003241</v>
          </cell>
          <cell r="AT14">
            <v>12227672.699174229</v>
          </cell>
          <cell r="AU14">
            <v>9583447.97876513</v>
          </cell>
          <cell r="AV14">
            <v>8109197.7133564232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PGC BREAKOUT"/>
      <sheetName val="WORKBOOK NOTES"/>
      <sheetName val="HEDGE REPORT"/>
      <sheetName val="NON-PGC HEDGE "/>
      <sheetName val="YR SUMMARIES"/>
      <sheetName val="YR REPORTS"/>
      <sheetName val="FIN OPS REV VOL VS YR REPORTS"/>
      <sheetName val="PGC GRAPHS"/>
      <sheetName val="NONPGC GRAPHS"/>
      <sheetName val="TOTAL GRAPHS"/>
      <sheetName val="MCFS"/>
      <sheetName val="MCFS GRAPHS"/>
      <sheetName val="FT GAS"/>
      <sheetName val="EIA and NYMEX"/>
      <sheetName val="FSS"/>
      <sheetName val="GSS-09"/>
      <sheetName val="GSS-97"/>
      <sheetName val="GSS-62"/>
      <sheetName val="GSS-TOT"/>
      <sheetName val="STORAGE TOT"/>
      <sheetName val="GAS "/>
      <sheetName val="TRANSPORT"/>
      <sheetName val="DEMAND"/>
    </sheetNames>
    <sheetDataSet>
      <sheetData sheetId="0"/>
      <sheetData sheetId="1"/>
      <sheetData sheetId="2"/>
      <sheetData sheetId="3"/>
      <sheetData sheetId="4"/>
      <sheetData sheetId="5">
        <row r="91">
          <cell r="O91">
            <v>7676852.1970917545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WORKBOOK NOTES"/>
      <sheetName val="HEDGE REPORT"/>
      <sheetName val="YR SUMMARIES"/>
      <sheetName val="YR REPORTS"/>
      <sheetName val="FIN OPS REV VOL VS YR REPORTS"/>
      <sheetName val="PGC GRAPHS"/>
      <sheetName val="NONPGC GRAPHS"/>
      <sheetName val="TOTAL GRAPHS"/>
      <sheetName val="NON-PGC HEDGE "/>
      <sheetName val="MCFS"/>
      <sheetName val="MCFS GRAPHS"/>
      <sheetName val="FT GAS"/>
      <sheetName val="FSS"/>
      <sheetName val="GSS-09"/>
      <sheetName val="GSS-97"/>
      <sheetName val="GSS-62"/>
      <sheetName val="GSS-TOT"/>
      <sheetName val="STORAGE TOT"/>
      <sheetName val="GAS "/>
      <sheetName val="TRANSPORT"/>
      <sheetName val="DEMAN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3">
          <cell r="AF13">
            <v>12823930.848566594</v>
          </cell>
        </row>
        <row r="15">
          <cell r="AF15">
            <v>3868182.4561403515</v>
          </cell>
        </row>
        <row r="17">
          <cell r="AF17">
            <v>16692113.304706944</v>
          </cell>
        </row>
      </sheetData>
      <sheetData sheetId="10"/>
      <sheetData sheetId="11">
        <row r="3">
          <cell r="AJ3">
            <v>12823930.848566594</v>
          </cell>
        </row>
        <row r="5">
          <cell r="AJ5">
            <v>3868182.4561403515</v>
          </cell>
        </row>
        <row r="7">
          <cell r="X7">
            <v>557098.98585463443</v>
          </cell>
          <cell r="Y7">
            <v>545646.35427568702</v>
          </cell>
          <cell r="Z7">
            <v>577260.00364133599</v>
          </cell>
          <cell r="AA7">
            <v>1183190.4809631801</v>
          </cell>
          <cell r="AB7">
            <v>1757052.9348683055</v>
          </cell>
          <cell r="AC7">
            <v>2495906.3921273788</v>
          </cell>
          <cell r="AD7">
            <v>2804012.583367019</v>
          </cell>
          <cell r="AE7">
            <v>2328671.8090409189</v>
          </cell>
          <cell r="AF7">
            <v>1904824.3376508751</v>
          </cell>
          <cell r="AG7">
            <v>1231188.2574588384</v>
          </cell>
          <cell r="AH7">
            <v>770639.50965151296</v>
          </cell>
          <cell r="AJ7">
            <v>16692113.304706944</v>
          </cell>
        </row>
        <row r="39">
          <cell r="X39">
            <v>1041540.9058546345</v>
          </cell>
          <cell r="Y39">
            <v>1057670.934275687</v>
          </cell>
          <cell r="Z39">
            <v>946421.28364133602</v>
          </cell>
          <cell r="AA39">
            <v>1446971.12096318</v>
          </cell>
          <cell r="AB39">
            <v>1757052.9348683055</v>
          </cell>
          <cell r="AC39">
            <v>1599391.9121273789</v>
          </cell>
          <cell r="AD39">
            <v>1774253.0133670189</v>
          </cell>
          <cell r="AE39">
            <v>1487775.829040919</v>
          </cell>
          <cell r="AF39">
            <v>1553985.017650875</v>
          </cell>
          <cell r="AG39">
            <v>1633932.1974588383</v>
          </cell>
          <cell r="AH39">
            <v>1288864.0896515129</v>
          </cell>
          <cell r="AI39">
            <v>1049696.2358072582</v>
          </cell>
          <cell r="AJ39">
            <v>16637555.474706944</v>
          </cell>
        </row>
        <row r="107">
          <cell r="X107">
            <v>384340.90585463447</v>
          </cell>
          <cell r="Y107">
            <v>400470.93427568697</v>
          </cell>
          <cell r="Z107">
            <v>421421.28364133602</v>
          </cell>
          <cell r="AA107">
            <v>1016071.12096318</v>
          </cell>
          <cell r="AB107">
            <v>1217052.9348683055</v>
          </cell>
          <cell r="AC107">
            <v>870891.91212737886</v>
          </cell>
          <cell r="AD107">
            <v>1045753.0133670189</v>
          </cell>
          <cell r="AE107">
            <v>806275.82904091896</v>
          </cell>
          <cell r="AF107">
            <v>999085.01765087503</v>
          </cell>
          <cell r="AG107">
            <v>1297932.1974588383</v>
          </cell>
          <cell r="AH107">
            <v>941664.08965151291</v>
          </cell>
          <cell r="AI107">
            <v>701696.23580725817</v>
          </cell>
          <cell r="AJ107">
            <v>10102655.474706944</v>
          </cell>
        </row>
        <row r="115">
          <cell r="AJ115">
            <v>46492430.007665575</v>
          </cell>
        </row>
        <row r="117">
          <cell r="X117">
            <v>4.2658489953046068</v>
          </cell>
          <cell r="Y117">
            <v>4.2449976762302342</v>
          </cell>
          <cell r="Z117">
            <v>4.2595392186775713</v>
          </cell>
          <cell r="AA117">
            <v>4.3253056116346933</v>
          </cell>
          <cell r="AB117">
            <v>4.4248682685525695</v>
          </cell>
          <cell r="AC117">
            <v>4.5749385336473711</v>
          </cell>
          <cell r="AD117">
            <v>4.6861955991022626</v>
          </cell>
          <cell r="AE117">
            <v>4.6740717779751053</v>
          </cell>
          <cell r="AF117">
            <v>4.6694240203498607</v>
          </cell>
          <cell r="AG117">
            <v>4.6002033980744699</v>
          </cell>
          <cell r="AH117">
            <v>4.5837154272698717</v>
          </cell>
          <cell r="AI117">
            <v>4.5949664315778644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workbookViewId="0">
      <selection activeCell="A37" sqref="A37"/>
    </sheetView>
  </sheetViews>
  <sheetFormatPr defaultRowHeight="15.75"/>
  <cols>
    <col min="1" max="1" width="19.77734375" bestFit="1" customWidth="1"/>
    <col min="4" max="4" width="12.88671875" bestFit="1" customWidth="1"/>
    <col min="6" max="6" width="10.88671875" bestFit="1" customWidth="1"/>
    <col min="7" max="7" width="14.21875" bestFit="1" customWidth="1"/>
    <col min="8" max="8" width="10.109375" bestFit="1" customWidth="1"/>
    <col min="9" max="9" width="12.21875" bestFit="1" customWidth="1"/>
    <col min="11" max="11" width="15.88671875" bestFit="1" customWidth="1"/>
  </cols>
  <sheetData>
    <row r="1" spans="1:11">
      <c r="A1" s="460" t="s">
        <v>120</v>
      </c>
      <c r="B1" s="461"/>
      <c r="C1" s="460"/>
      <c r="D1" s="462"/>
      <c r="E1" s="462"/>
      <c r="F1" s="462"/>
      <c r="G1" s="463" t="s">
        <v>947</v>
      </c>
      <c r="H1" s="460" t="s">
        <v>948</v>
      </c>
      <c r="I1" s="464" t="s">
        <v>949</v>
      </c>
      <c r="J1" s="460"/>
      <c r="K1" s="460"/>
    </row>
    <row r="2" spans="1:11">
      <c r="A2" s="477">
        <v>1000000</v>
      </c>
      <c r="B2" s="461"/>
      <c r="C2" s="465"/>
      <c r="D2" s="466"/>
      <c r="E2" s="462"/>
      <c r="F2" s="462"/>
      <c r="G2" s="467">
        <v>0.05</v>
      </c>
      <c r="H2" s="467">
        <v>0.05</v>
      </c>
      <c r="I2" s="468">
        <v>1.04</v>
      </c>
      <c r="J2" s="460"/>
      <c r="K2" s="460"/>
    </row>
    <row r="3" spans="1:11">
      <c r="A3" s="460"/>
      <c r="B3" s="461"/>
      <c r="C3" s="460"/>
      <c r="D3" s="462"/>
      <c r="E3" s="462"/>
      <c r="F3" s="463" t="s">
        <v>950</v>
      </c>
      <c r="G3" s="463" t="s">
        <v>951</v>
      </c>
      <c r="H3" s="463" t="s">
        <v>952</v>
      </c>
      <c r="I3" s="468" t="s">
        <v>952</v>
      </c>
      <c r="J3" s="460"/>
      <c r="K3" s="460"/>
    </row>
    <row r="4" spans="1:11">
      <c r="A4" s="460"/>
      <c r="B4" s="461" t="s">
        <v>953</v>
      </c>
      <c r="C4" s="460"/>
      <c r="D4" s="462"/>
      <c r="E4" s="462"/>
      <c r="F4" s="463" t="s">
        <v>954</v>
      </c>
      <c r="G4" s="463" t="s">
        <v>954</v>
      </c>
      <c r="H4" s="463" t="s">
        <v>954</v>
      </c>
      <c r="I4" s="468" t="s">
        <v>955</v>
      </c>
      <c r="J4" s="460"/>
      <c r="K4" s="460"/>
    </row>
    <row r="5" spans="1:11">
      <c r="A5" s="460" t="s">
        <v>956</v>
      </c>
      <c r="B5" s="469">
        <v>0.45600000000000002</v>
      </c>
      <c r="C5" s="467">
        <f>B5/$B$8</f>
        <v>0.4366471523333964</v>
      </c>
      <c r="D5" s="462"/>
      <c r="E5" s="462"/>
      <c r="F5" s="462"/>
      <c r="G5" s="463"/>
      <c r="H5" s="460"/>
      <c r="I5" s="464"/>
      <c r="J5" s="460"/>
      <c r="K5" s="460"/>
    </row>
    <row r="6" spans="1:11">
      <c r="A6" s="460" t="s">
        <v>957</v>
      </c>
      <c r="B6" s="461">
        <f>(D6/I6)/10</f>
        <v>0.20449741775066649</v>
      </c>
      <c r="C6" s="467">
        <f>B6/$B$8</f>
        <v>0.19581845421131902</v>
      </c>
      <c r="D6" s="470">
        <f>('YR REPORTS'!P22-'YR REPORTS'!P71)/'PGC BREAKOUT'!A2</f>
        <v>19.037017785450001</v>
      </c>
      <c r="E6" s="462"/>
      <c r="F6" s="462"/>
      <c r="G6" s="463"/>
      <c r="H6" s="471"/>
      <c r="I6" s="472">
        <f>+'YR REPORTS'!P12/A2</f>
        <v>9.3091727000000013</v>
      </c>
      <c r="J6" s="460"/>
      <c r="K6" s="460"/>
    </row>
    <row r="7" spans="1:11">
      <c r="A7" s="460" t="s">
        <v>958</v>
      </c>
      <c r="B7" s="461">
        <f>((D7/I6))/10</f>
        <v>0.38382406141891928</v>
      </c>
      <c r="C7" s="467">
        <f>B7/$B$8</f>
        <v>0.36753439345528455</v>
      </c>
      <c r="D7" s="470">
        <f>+'YR REPORTS'!P35/A2</f>
        <v>35.73084474164127</v>
      </c>
      <c r="E7" s="462"/>
      <c r="F7" s="462"/>
      <c r="G7" s="463"/>
      <c r="H7" s="460"/>
      <c r="I7" s="464"/>
      <c r="J7" s="460"/>
      <c r="K7" s="460"/>
    </row>
    <row r="8" spans="1:11">
      <c r="A8" s="460" t="s">
        <v>0</v>
      </c>
      <c r="B8" s="461">
        <f>SUM(B5:B7)</f>
        <v>1.0443214791695858</v>
      </c>
      <c r="C8" s="460"/>
      <c r="D8" s="462">
        <f>D6+D7</f>
        <v>54.767862527091268</v>
      </c>
      <c r="E8" s="462"/>
      <c r="F8" s="462"/>
      <c r="G8" s="463"/>
      <c r="H8" s="460"/>
      <c r="I8" s="464"/>
      <c r="J8" s="460"/>
      <c r="K8" s="460"/>
    </row>
    <row r="9" spans="1:11">
      <c r="A9" s="460" t="s">
        <v>959</v>
      </c>
      <c r="B9" s="461">
        <f>B6+B7</f>
        <v>0.58832147916958577</v>
      </c>
      <c r="C9" s="460"/>
      <c r="D9" s="462"/>
      <c r="E9" s="462"/>
      <c r="F9" s="462"/>
      <c r="G9" s="463"/>
      <c r="H9" s="460"/>
      <c r="I9" s="464"/>
      <c r="J9" s="460"/>
      <c r="K9" s="460"/>
    </row>
    <row r="10" spans="1:11">
      <c r="A10" s="460"/>
      <c r="B10" s="461"/>
      <c r="C10" s="460"/>
      <c r="D10" s="462"/>
      <c r="E10" s="462"/>
      <c r="F10" s="462"/>
      <c r="G10" s="463"/>
      <c r="H10" s="460"/>
      <c r="I10" s="464"/>
      <c r="J10" s="460"/>
      <c r="K10" s="460" t="s">
        <v>960</v>
      </c>
    </row>
    <row r="11" spans="1:11">
      <c r="A11" s="460" t="s">
        <v>961</v>
      </c>
      <c r="B11" s="461">
        <f>(D11/I11)/10</f>
        <v>0.43192240226750639</v>
      </c>
      <c r="C11" s="460"/>
      <c r="D11" s="470">
        <f>'FT GAS'!S53/A2</f>
        <v>13.266695</v>
      </c>
      <c r="E11" s="467">
        <f>D11/$D$14</f>
        <v>0.37129530790350423</v>
      </c>
      <c r="F11" s="472">
        <f>'FT GAS'!S51/A2</f>
        <v>3.5825</v>
      </c>
      <c r="G11" s="471">
        <f>F11*(1-$G$2)</f>
        <v>3.403375</v>
      </c>
      <c r="H11" s="471">
        <f>G11*(1-$H$2)</f>
        <v>3.2332062499999998</v>
      </c>
      <c r="I11" s="471">
        <f>H11*(1-$H$2)</f>
        <v>3.0715459374999998</v>
      </c>
      <c r="J11" s="467">
        <f>I11/$I$14</f>
        <v>0.35101462137237216</v>
      </c>
      <c r="K11" s="467">
        <f>J11*$C$7</f>
        <v>0.12900994596003115</v>
      </c>
    </row>
    <row r="12" spans="1:11">
      <c r="A12" s="460" t="s">
        <v>962</v>
      </c>
      <c r="B12" s="461">
        <f>(D12/I12)/10</f>
        <v>0.32027194443249762</v>
      </c>
      <c r="C12" s="460"/>
      <c r="D12" s="462">
        <f>D7-D11-D13</f>
        <v>9.5648345727177269</v>
      </c>
      <c r="E12" s="467">
        <f>D12/$D$14</f>
        <v>0.26769125224657014</v>
      </c>
      <c r="F12" s="472">
        <f>('FT GAS'!S107-'FT GAS'!S5)/A2</f>
        <v>3.4414756049861515</v>
      </c>
      <c r="G12" s="471">
        <f>F12*(1-$G$2)</f>
        <v>3.2694018247368439</v>
      </c>
      <c r="H12" s="471">
        <f>G12*(1-$H$2)</f>
        <v>3.1059317335000016</v>
      </c>
      <c r="I12" s="473">
        <f>H12/$I$2</f>
        <v>2.9864728206730784</v>
      </c>
      <c r="J12" s="467">
        <f>I12/$I$14</f>
        <v>0.34129251123643367</v>
      </c>
      <c r="K12" s="467">
        <f>J12*$C$7</f>
        <v>0.12543673610811354</v>
      </c>
    </row>
    <row r="13" spans="1:11">
      <c r="A13" s="460" t="s">
        <v>963</v>
      </c>
      <c r="B13" s="461">
        <f>(D13/I13)/10</f>
        <v>0.47909034340043066</v>
      </c>
      <c r="C13" s="460"/>
      <c r="D13" s="470">
        <f>-SUM('STORAGE TOT'!G12:K12)/A2</f>
        <v>12.899315168923545</v>
      </c>
      <c r="E13" s="467">
        <f>D13/$D$14</f>
        <v>0.36101343984992573</v>
      </c>
      <c r="F13" s="478">
        <f>G13*(1+G2)</f>
        <v>3.0949117500000001</v>
      </c>
      <c r="G13" s="474">
        <f>-SUM('STORAGE TOT'!G10:K10)/'PGC BREAKOUT'!A2</f>
        <v>2.9475349999999998</v>
      </c>
      <c r="H13" s="471">
        <f>G13*(1-$H$2)</f>
        <v>2.8001582499999995</v>
      </c>
      <c r="I13" s="473">
        <f>H13/$I$2</f>
        <v>2.6924598557692301</v>
      </c>
      <c r="J13" s="467">
        <f>I13/$I$14</f>
        <v>0.307692867391194</v>
      </c>
      <c r="K13" s="467">
        <f>J13*$C$7</f>
        <v>0.11308771138713979</v>
      </c>
    </row>
    <row r="14" spans="1:11">
      <c r="A14" s="460"/>
      <c r="B14" s="461">
        <f>D14/I14/10</f>
        <v>0.40833017618842715</v>
      </c>
      <c r="C14" s="460"/>
      <c r="D14" s="462">
        <f>SUM(D11:D13)</f>
        <v>35.73084474164127</v>
      </c>
      <c r="E14" s="462"/>
      <c r="F14" s="478">
        <f>SUM(F11:F13)</f>
        <v>10.118887354986152</v>
      </c>
      <c r="G14" s="471">
        <f>F14*(1-$G$2)</f>
        <v>9.6129429872368437</v>
      </c>
      <c r="H14" s="471">
        <f>G14*(1-$H$2)</f>
        <v>9.1322958378750005</v>
      </c>
      <c r="I14" s="475">
        <f>SUM(I11:I13)</f>
        <v>8.7504786139423096</v>
      </c>
      <c r="J14" s="467">
        <f>SUM(J11:J13)</f>
        <v>0.99999999999999978</v>
      </c>
      <c r="K14" s="467">
        <f>SUM(K11:K13)</f>
        <v>0.36753439345528449</v>
      </c>
    </row>
    <row r="15" spans="1:11">
      <c r="A15" s="460"/>
      <c r="B15" s="461"/>
      <c r="C15" s="460"/>
      <c r="D15" s="462"/>
      <c r="E15" s="462"/>
      <c r="F15" s="462"/>
      <c r="G15" s="463"/>
      <c r="H15" s="460"/>
      <c r="I15" s="464"/>
      <c r="J15" s="460"/>
      <c r="K15" s="460"/>
    </row>
    <row r="16" spans="1:11">
      <c r="A16" s="460" t="s">
        <v>964</v>
      </c>
      <c r="B16" s="461"/>
      <c r="C16" s="460"/>
      <c r="D16" s="462"/>
      <c r="E16" s="462"/>
      <c r="F16" s="462"/>
      <c r="G16" s="463"/>
      <c r="H16" s="460"/>
      <c r="I16" s="476">
        <f>SUM(I11,I13)/I14</f>
        <v>0.65870748876356611</v>
      </c>
      <c r="J16" s="465"/>
      <c r="K16" s="460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B71"/>
  <sheetViews>
    <sheetView topLeftCell="A13" zoomScale="50" workbookViewId="0">
      <selection activeCell="A68" sqref="A68"/>
    </sheetView>
  </sheetViews>
  <sheetFormatPr defaultRowHeight="20.25"/>
  <cols>
    <col min="1" max="1" width="79.88671875" style="1" bestFit="1" customWidth="1"/>
    <col min="2" max="16384" width="8.88671875" style="1"/>
  </cols>
  <sheetData>
    <row r="1" spans="1:2">
      <c r="A1" s="1" t="s">
        <v>248</v>
      </c>
    </row>
    <row r="2" spans="1:2">
      <c r="A2" s="2" t="s">
        <v>127</v>
      </c>
      <c r="B2" s="1" t="s">
        <v>215</v>
      </c>
    </row>
    <row r="3" spans="1:2">
      <c r="A3" s="2" t="s">
        <v>140</v>
      </c>
      <c r="B3" s="1" t="s">
        <v>216</v>
      </c>
    </row>
    <row r="4" spans="1:2">
      <c r="A4" s="3" t="s">
        <v>115</v>
      </c>
      <c r="B4" s="1" t="s">
        <v>217</v>
      </c>
    </row>
    <row r="5" spans="1:2">
      <c r="A5" s="3" t="s">
        <v>116</v>
      </c>
      <c r="B5" s="1" t="s">
        <v>216</v>
      </c>
    </row>
    <row r="6" spans="1:2">
      <c r="A6" s="2" t="s">
        <v>70</v>
      </c>
      <c r="B6" s="1" t="s">
        <v>218</v>
      </c>
    </row>
    <row r="7" spans="1:2">
      <c r="A7" s="4"/>
    </row>
    <row r="8" spans="1:2">
      <c r="A8" s="5" t="s">
        <v>128</v>
      </c>
      <c r="B8" s="1" t="s">
        <v>236</v>
      </c>
    </row>
    <row r="9" spans="1:2">
      <c r="A9" s="5" t="s">
        <v>71</v>
      </c>
    </row>
    <row r="10" spans="1:2">
      <c r="A10" s="2" t="s">
        <v>129</v>
      </c>
      <c r="B10" s="1" t="s">
        <v>219</v>
      </c>
    </row>
    <row r="11" spans="1:2">
      <c r="A11" s="2" t="s">
        <v>202</v>
      </c>
    </row>
    <row r="12" spans="1:2">
      <c r="A12" s="2"/>
    </row>
    <row r="13" spans="1:2">
      <c r="A13" s="2" t="s">
        <v>199</v>
      </c>
      <c r="B13" s="1" t="s">
        <v>220</v>
      </c>
    </row>
    <row r="14" spans="1:2">
      <c r="A14" s="2" t="s">
        <v>133</v>
      </c>
    </row>
    <row r="15" spans="1:2">
      <c r="A15" s="2" t="s">
        <v>132</v>
      </c>
      <c r="B15" s="1" t="s">
        <v>221</v>
      </c>
    </row>
    <row r="16" spans="1:2">
      <c r="A16" s="2" t="s">
        <v>135</v>
      </c>
    </row>
    <row r="17" spans="1:2">
      <c r="A17" s="2" t="s">
        <v>136</v>
      </c>
      <c r="B17" s="1" t="s">
        <v>222</v>
      </c>
    </row>
    <row r="18" spans="1:2">
      <c r="A18" s="2" t="s">
        <v>134</v>
      </c>
      <c r="B18" s="1" t="s">
        <v>223</v>
      </c>
    </row>
    <row r="19" spans="1:2">
      <c r="A19" s="2" t="s">
        <v>142</v>
      </c>
    </row>
    <row r="20" spans="1:2">
      <c r="A20" s="2" t="s">
        <v>207</v>
      </c>
      <c r="B20" s="1" t="s">
        <v>224</v>
      </c>
    </row>
    <row r="21" spans="1:2">
      <c r="A21" s="2" t="s">
        <v>205</v>
      </c>
      <c r="B21" s="1" t="s">
        <v>228</v>
      </c>
    </row>
    <row r="22" spans="1:2">
      <c r="A22" s="2" t="s">
        <v>208</v>
      </c>
    </row>
    <row r="23" spans="1:2">
      <c r="A23" s="2" t="s">
        <v>206</v>
      </c>
      <c r="B23" s="1" t="s">
        <v>229</v>
      </c>
    </row>
    <row r="24" spans="1:2">
      <c r="A24" s="2" t="s">
        <v>209</v>
      </c>
    </row>
    <row r="25" spans="1:2">
      <c r="A25" s="2" t="s">
        <v>126</v>
      </c>
      <c r="B25" s="1" t="s">
        <v>231</v>
      </c>
    </row>
    <row r="26" spans="1:2">
      <c r="A26" s="2" t="s">
        <v>210</v>
      </c>
      <c r="B26" s="1" t="s">
        <v>230</v>
      </c>
    </row>
    <row r="27" spans="1:2">
      <c r="A27" s="2" t="s">
        <v>211</v>
      </c>
    </row>
    <row r="28" spans="1:2">
      <c r="A28" s="2"/>
    </row>
    <row r="29" spans="1:2">
      <c r="A29" s="6" t="s">
        <v>233</v>
      </c>
      <c r="B29" s="1" t="s">
        <v>234</v>
      </c>
    </row>
    <row r="30" spans="1:2">
      <c r="A30" s="6" t="s">
        <v>105</v>
      </c>
      <c r="B30" s="1" t="s">
        <v>235</v>
      </c>
    </row>
    <row r="31" spans="1:2">
      <c r="A31" s="6" t="s">
        <v>73</v>
      </c>
    </row>
    <row r="32" spans="1:2">
      <c r="A32" s="7" t="s">
        <v>74</v>
      </c>
      <c r="B32" s="1" t="s">
        <v>232</v>
      </c>
    </row>
    <row r="33" spans="1:2">
      <c r="A33" s="7" t="s">
        <v>106</v>
      </c>
      <c r="B33" s="1" t="s">
        <v>237</v>
      </c>
    </row>
    <row r="34" spans="1:2">
      <c r="A34" s="4" t="s">
        <v>107</v>
      </c>
    </row>
    <row r="35" spans="1:2">
      <c r="A35" s="2" t="s">
        <v>117</v>
      </c>
    </row>
    <row r="36" spans="1:2">
      <c r="A36" s="2" t="s">
        <v>75</v>
      </c>
    </row>
    <row r="37" spans="1:2">
      <c r="A37" s="2" t="s">
        <v>76</v>
      </c>
    </row>
    <row r="39" spans="1:2">
      <c r="A39" s="8" t="s">
        <v>131</v>
      </c>
    </row>
    <row r="40" spans="1:2">
      <c r="A40" s="2" t="s">
        <v>139</v>
      </c>
    </row>
    <row r="41" spans="1:2">
      <c r="A41" s="2" t="s">
        <v>141</v>
      </c>
    </row>
    <row r="42" spans="1:2">
      <c r="A42" s="9" t="s">
        <v>144</v>
      </c>
    </row>
    <row r="43" spans="1:2">
      <c r="A43" s="9" t="s">
        <v>145</v>
      </c>
    </row>
    <row r="44" spans="1:2">
      <c r="A44" s="8" t="s">
        <v>130</v>
      </c>
    </row>
    <row r="45" spans="1:2">
      <c r="A45" s="2" t="s">
        <v>137</v>
      </c>
    </row>
    <row r="46" spans="1:2">
      <c r="A46" s="2" t="s">
        <v>138</v>
      </c>
    </row>
    <row r="47" spans="1:2">
      <c r="A47" s="9" t="s">
        <v>212</v>
      </c>
    </row>
    <row r="48" spans="1:2">
      <c r="A48" s="9" t="s">
        <v>143</v>
      </c>
    </row>
    <row r="49" spans="1:1">
      <c r="A49" s="2" t="s">
        <v>203</v>
      </c>
    </row>
    <row r="50" spans="1:1">
      <c r="A50" s="2" t="s">
        <v>204</v>
      </c>
    </row>
    <row r="51" spans="1:1">
      <c r="A51" s="2" t="s">
        <v>213</v>
      </c>
    </row>
    <row r="52" spans="1:1">
      <c r="A52" s="2" t="s">
        <v>78</v>
      </c>
    </row>
    <row r="58" spans="1:1">
      <c r="A58" s="6" t="s">
        <v>243</v>
      </c>
    </row>
    <row r="59" spans="1:1">
      <c r="A59" s="6" t="s">
        <v>244</v>
      </c>
    </row>
    <row r="60" spans="1:1">
      <c r="A60" s="4" t="s">
        <v>238</v>
      </c>
    </row>
    <row r="61" spans="1:1">
      <c r="A61" s="4" t="s">
        <v>239</v>
      </c>
    </row>
    <row r="62" spans="1:1">
      <c r="A62" s="4" t="s">
        <v>240</v>
      </c>
    </row>
    <row r="63" spans="1:1">
      <c r="A63" s="4" t="s">
        <v>245</v>
      </c>
    </row>
    <row r="64" spans="1:1">
      <c r="A64" s="10"/>
    </row>
    <row r="65" spans="1:1">
      <c r="A65" s="7" t="s">
        <v>241</v>
      </c>
    </row>
    <row r="66" spans="1:1">
      <c r="A66" s="7" t="s">
        <v>115</v>
      </c>
    </row>
    <row r="67" spans="1:1">
      <c r="A67" s="7" t="s">
        <v>242</v>
      </c>
    </row>
    <row r="68" spans="1:1">
      <c r="A68" s="7" t="s">
        <v>77</v>
      </c>
    </row>
    <row r="69" spans="1:1">
      <c r="A69" s="4" t="s">
        <v>133</v>
      </c>
    </row>
    <row r="70" spans="1:1">
      <c r="A70" s="7" t="s">
        <v>246</v>
      </c>
    </row>
    <row r="71" spans="1:1">
      <c r="A71" s="7" t="s">
        <v>201</v>
      </c>
    </row>
  </sheetData>
  <phoneticPr fontId="0" type="noConversion"/>
  <pageMargins left="0.75" right="0.75" top="1" bottom="1" header="0.5" footer="0.5"/>
  <pageSetup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M54"/>
  <sheetViews>
    <sheetView showGridLines="0" zoomScale="50" workbookViewId="0">
      <selection activeCell="G50" sqref="G50"/>
    </sheetView>
  </sheetViews>
  <sheetFormatPr defaultRowHeight="20.25"/>
  <cols>
    <col min="1" max="1" width="68.77734375" style="1" customWidth="1"/>
    <col min="2" max="2" width="21.6640625" style="10" bestFit="1" customWidth="1"/>
    <col min="3" max="3" width="25.6640625" style="10" customWidth="1"/>
    <col min="4" max="4" width="10.33203125" style="22" customWidth="1"/>
    <col min="5" max="5" width="29" style="22" customWidth="1"/>
    <col min="6" max="6" width="21.6640625" style="22" bestFit="1" customWidth="1"/>
    <col min="7" max="7" width="32.77734375" style="16" customWidth="1"/>
    <col min="8" max="8" width="19.88671875" style="16" customWidth="1"/>
    <col min="9" max="9" width="26.109375" style="29" customWidth="1"/>
    <col min="10" max="10" width="15.44140625" style="30" bestFit="1" customWidth="1"/>
    <col min="11" max="11" width="26.21875" style="10" bestFit="1" customWidth="1"/>
    <col min="12" max="12" width="18.109375" style="10" bestFit="1" customWidth="1"/>
    <col min="13" max="13" width="9.6640625" style="10" bestFit="1" customWidth="1"/>
    <col min="14" max="14" width="8.44140625" style="1" customWidth="1"/>
    <col min="15" max="16384" width="8.88671875" style="1"/>
  </cols>
  <sheetData>
    <row r="1" spans="1:11">
      <c r="A1" s="33" t="s">
        <v>112</v>
      </c>
      <c r="D1" s="152"/>
      <c r="E1" s="297"/>
    </row>
    <row r="2" spans="1:11">
      <c r="A2" s="33" t="s">
        <v>113</v>
      </c>
      <c r="F2" s="316"/>
    </row>
    <row r="3" spans="1:11">
      <c r="A3" s="33" t="s">
        <v>865</v>
      </c>
      <c r="H3" s="243"/>
      <c r="K3" s="30"/>
    </row>
    <row r="4" spans="1:11" ht="21" thickBot="1">
      <c r="A4" s="33"/>
      <c r="F4" s="185"/>
    </row>
    <row r="5" spans="1:11">
      <c r="A5" s="244" t="s">
        <v>481</v>
      </c>
      <c r="B5" s="245"/>
      <c r="C5" s="245"/>
      <c r="D5" s="246"/>
      <c r="E5" s="246"/>
      <c r="F5" s="246"/>
      <c r="G5" s="236"/>
      <c r="H5" s="247">
        <f ca="1">NOW()-1</f>
        <v>41148.356660879632</v>
      </c>
      <c r="I5" s="248" t="s">
        <v>482</v>
      </c>
      <c r="J5" s="249"/>
    </row>
    <row r="6" spans="1:11">
      <c r="A6" s="250" t="s">
        <v>483</v>
      </c>
      <c r="B6" s="251" t="s">
        <v>484</v>
      </c>
      <c r="C6" s="251" t="s">
        <v>485</v>
      </c>
      <c r="D6" s="162" t="s">
        <v>486</v>
      </c>
      <c r="E6" s="162" t="s">
        <v>487</v>
      </c>
      <c r="F6" s="162" t="s">
        <v>760</v>
      </c>
      <c r="G6" s="252" t="s">
        <v>488</v>
      </c>
      <c r="H6" s="252" t="s">
        <v>462</v>
      </c>
      <c r="I6" s="253" t="s">
        <v>489</v>
      </c>
      <c r="J6" s="254" t="s">
        <v>490</v>
      </c>
    </row>
    <row r="7" spans="1:11">
      <c r="A7" s="329" t="s">
        <v>937</v>
      </c>
      <c r="B7" s="255" t="s">
        <v>938</v>
      </c>
      <c r="C7" s="255" t="s">
        <v>845</v>
      </c>
      <c r="D7" s="152">
        <f>+'FT GAS'!S52</f>
        <v>9788.2513661202192</v>
      </c>
      <c r="E7" s="152">
        <f>+'FT GAS'!S51</f>
        <v>3582500</v>
      </c>
      <c r="F7" s="165">
        <f>E7/MCFS!P13</f>
        <v>0.29425252888654801</v>
      </c>
      <c r="G7" s="243">
        <f>+'FT GAS'!S54</f>
        <v>3.7031946964410327</v>
      </c>
      <c r="H7" s="243">
        <f>('FT GAS'!G51*'FT GAS'!G109+'FT GAS'!H51*'FT GAS'!H109+'FT GAS'!I51*'FT GAS'!I109+'FT GAS'!J51*'FT GAS'!J109+'FT GAS'!K51*'FT GAS'!K109+'FT GAS'!L51*'FT GAS'!L109+'FT GAS'!M51*'FT GAS'!M109+'FT GAS'!N51*'FT GAS'!N109+'FT GAS'!O51*'FT GAS'!O109+'FT GAS'!P51*'FT GAS'!P109+'FT GAS'!Q51*'FT GAS'!Q109+'FT GAS'!R51*'FT GAS'!R109)/'FT GAS'!S51</f>
        <v>3.1793203070481506</v>
      </c>
      <c r="I7" s="256">
        <f>H7-G7</f>
        <v>-0.52387438939288211</v>
      </c>
      <c r="J7" s="239">
        <f>E7*I7</f>
        <v>-1876780.0000000002</v>
      </c>
      <c r="K7" s="10">
        <f>+'[1]HEDGE - RESULTS'!$N$500</f>
        <v>0</v>
      </c>
    </row>
    <row r="8" spans="1:11" ht="21" thickBot="1">
      <c r="A8" s="257" t="s">
        <v>898</v>
      </c>
      <c r="B8" s="258"/>
      <c r="C8" s="258"/>
      <c r="D8" s="259"/>
      <c r="E8" s="260">
        <f>SUM(E7:E7)</f>
        <v>3582500</v>
      </c>
      <c r="F8" s="261">
        <f>SUM(F7:F7)</f>
        <v>0.29425252888654801</v>
      </c>
      <c r="G8" s="262">
        <f>(E7*G7)/E8</f>
        <v>3.7031946964410327</v>
      </c>
      <c r="H8" s="262">
        <f>(E7*H7)/E8</f>
        <v>3.1793203070481506</v>
      </c>
      <c r="I8" s="263">
        <f>I7</f>
        <v>-0.52387438939288211</v>
      </c>
      <c r="J8" s="264">
        <f>SUM(J7:J7)</f>
        <v>-1876780.0000000002</v>
      </c>
    </row>
    <row r="9" spans="1:11" ht="21" thickBot="1">
      <c r="A9" s="357"/>
      <c r="B9" s="255"/>
      <c r="C9" s="255"/>
      <c r="D9" s="152"/>
      <c r="E9" s="152"/>
      <c r="F9" s="152"/>
      <c r="G9" s="243"/>
      <c r="H9" s="243"/>
      <c r="I9" s="256"/>
      <c r="J9" s="234"/>
    </row>
    <row r="10" spans="1:11">
      <c r="A10" s="265"/>
      <c r="B10" s="245"/>
      <c r="C10" s="245"/>
      <c r="D10" s="246"/>
      <c r="E10" s="246"/>
      <c r="F10" s="246"/>
      <c r="G10" s="236"/>
      <c r="H10" s="247">
        <f ca="1">H5</f>
        <v>41148.356660879632</v>
      </c>
      <c r="I10" s="248" t="s">
        <v>491</v>
      </c>
      <c r="J10" s="249"/>
    </row>
    <row r="11" spans="1:11">
      <c r="A11" s="266"/>
      <c r="B11" s="255"/>
      <c r="C11" s="255"/>
      <c r="D11" s="152"/>
      <c r="E11" s="267" t="s">
        <v>492</v>
      </c>
      <c r="F11" s="162" t="s">
        <v>760</v>
      </c>
      <c r="G11" s="252" t="s">
        <v>493</v>
      </c>
      <c r="H11" s="252" t="s">
        <v>761</v>
      </c>
      <c r="I11" s="253" t="s">
        <v>761</v>
      </c>
      <c r="J11" s="254" t="s">
        <v>490</v>
      </c>
    </row>
    <row r="12" spans="1:11" ht="21" thickBot="1">
      <c r="A12" s="257" t="s">
        <v>762</v>
      </c>
      <c r="B12" s="258"/>
      <c r="C12" s="258"/>
      <c r="D12" s="259"/>
      <c r="E12" s="270">
        <f>ROUND(-SUM('STORAGE TOT'!H9:K9),-5)</f>
        <v>3100000</v>
      </c>
      <c r="F12" s="302">
        <f>E12/MCFS!$P$13</f>
        <v>0.25462186728494035</v>
      </c>
      <c r="G12" s="262">
        <f>+'STORAGE TOT'!F19</f>
        <v>4.4198088035717458</v>
      </c>
      <c r="H12" s="262">
        <f>AVERAGE('FT GAS'!L109:O109)+((0.64*AVERAGE('FT GAS'!L113:O113))+(0.36*AVERAGE('FT GAS'!L111:O111)))</f>
        <v>2.9247700000000001</v>
      </c>
      <c r="I12" s="263">
        <f>H12-G12</f>
        <v>-1.4950388035717457</v>
      </c>
      <c r="J12" s="264">
        <f>E12*I12</f>
        <v>-4634620.2910724115</v>
      </c>
    </row>
    <row r="13" spans="1:11" ht="21" thickBot="1"/>
    <row r="14" spans="1:11">
      <c r="A14" s="244"/>
      <c r="B14" s="245"/>
      <c r="C14" s="245"/>
      <c r="D14" s="246"/>
      <c r="E14" s="246"/>
      <c r="F14" s="268"/>
      <c r="G14" s="236"/>
      <c r="H14" s="247">
        <f ca="1">H5</f>
        <v>41148.356660879632</v>
      </c>
      <c r="I14" s="248" t="s">
        <v>494</v>
      </c>
      <c r="J14" s="269"/>
    </row>
    <row r="15" spans="1:11">
      <c r="A15" s="250"/>
      <c r="B15" s="255"/>
      <c r="C15" s="255"/>
      <c r="D15" s="152"/>
      <c r="E15" s="162" t="s">
        <v>495</v>
      </c>
      <c r="F15" s="162" t="s">
        <v>760</v>
      </c>
      <c r="G15" s="252" t="s">
        <v>496</v>
      </c>
      <c r="H15" s="252" t="s">
        <v>462</v>
      </c>
      <c r="I15" s="253" t="s">
        <v>489</v>
      </c>
      <c r="J15" s="254" t="s">
        <v>490</v>
      </c>
    </row>
    <row r="16" spans="1:11" ht="21" thickBot="1">
      <c r="A16" s="257" t="s">
        <v>899</v>
      </c>
      <c r="B16" s="258"/>
      <c r="C16" s="258"/>
      <c r="D16" s="259"/>
      <c r="E16" s="260">
        <f>SUM(E8,E12)</f>
        <v>6682500</v>
      </c>
      <c r="F16" s="261">
        <f>SUM(F8,F12)</f>
        <v>0.54887439617148837</v>
      </c>
      <c r="G16" s="262">
        <f>(E8*G8+E12*G12)/E16</f>
        <v>4.035630720699201</v>
      </c>
      <c r="H16" s="262">
        <f>(E8*H8+E12*H12)/E16</f>
        <v>3.0612348671904228</v>
      </c>
      <c r="I16" s="263">
        <f>H16-G16</f>
        <v>-0.97439585350877822</v>
      </c>
      <c r="J16" s="264">
        <f>SUM(J8,J12)</f>
        <v>-6511400.2910724115</v>
      </c>
    </row>
    <row r="17" spans="1:10" ht="21" thickBot="1"/>
    <row r="18" spans="1:10">
      <c r="A18" s="244" t="s">
        <v>889</v>
      </c>
      <c r="B18" s="245"/>
      <c r="C18" s="245"/>
      <c r="D18" s="246"/>
      <c r="E18" s="246"/>
      <c r="F18" s="246"/>
      <c r="G18" s="236"/>
      <c r="H18" s="247">
        <f ca="1">NOW()-1</f>
        <v>41148.356660879632</v>
      </c>
      <c r="I18" s="248" t="s">
        <v>482</v>
      </c>
      <c r="J18" s="249"/>
    </row>
    <row r="19" spans="1:10">
      <c r="A19" s="250" t="s">
        <v>483</v>
      </c>
      <c r="B19" s="251" t="s">
        <v>484</v>
      </c>
      <c r="C19" s="251" t="s">
        <v>485</v>
      </c>
      <c r="D19" s="162" t="s">
        <v>486</v>
      </c>
      <c r="E19" s="162" t="s">
        <v>487</v>
      </c>
      <c r="F19" s="162" t="s">
        <v>890</v>
      </c>
      <c r="G19" s="252" t="s">
        <v>488</v>
      </c>
      <c r="H19" s="252" t="s">
        <v>462</v>
      </c>
      <c r="I19" s="253" t="s">
        <v>489</v>
      </c>
      <c r="J19" s="254" t="s">
        <v>490</v>
      </c>
    </row>
    <row r="20" spans="1:10" ht="21" thickBot="1">
      <c r="A20" s="389" t="s">
        <v>971</v>
      </c>
      <c r="B20" s="258" t="s">
        <v>972</v>
      </c>
      <c r="C20" s="258" t="s">
        <v>796</v>
      </c>
      <c r="D20" s="259">
        <f>+'FT GAS'!S68</f>
        <v>2915.3005464480875</v>
      </c>
      <c r="E20" s="260">
        <f>+'FT GAS'!S67</f>
        <v>1067000</v>
      </c>
      <c r="F20" s="261">
        <f>E20/MCFS!P15</f>
        <v>0.26180419720094772</v>
      </c>
      <c r="G20" s="262">
        <f>+'FT GAS'!S70</f>
        <v>4.3552671040299904</v>
      </c>
      <c r="H20" s="262">
        <f>('FT GAS'!G67*'FT GAS'!G109+'FT GAS'!H67*'FT GAS'!H109+'FT GAS'!I67*'FT GAS'!I109+'FT GAS'!J67*'FT GAS'!J109+'FT GAS'!K67*'FT GAS'!K109+'FT GAS'!L67*'FT GAS'!L109+'FT GAS'!M67*'FT GAS'!M109+'FT GAS'!N67*'FT GAS'!N109+'FT GAS'!O67*'FT GAS'!O109+'FT GAS'!P67*'FT GAS'!P109+'FT GAS'!Q67*'FT GAS'!Q109+'FT GAS'!R67*'FT GAS'!R109)/'FT GAS'!S67</f>
        <v>3.1315941893158388</v>
      </c>
      <c r="I20" s="263">
        <f>H20-G20</f>
        <v>-1.2236729147141516</v>
      </c>
      <c r="J20" s="264">
        <f>I20*E20</f>
        <v>-1305658.9999999998</v>
      </c>
    </row>
    <row r="23" spans="1:10" ht="21" thickBot="1"/>
    <row r="24" spans="1:10">
      <c r="A24" s="244" t="s">
        <v>481</v>
      </c>
      <c r="B24" s="245"/>
      <c r="C24" s="245"/>
      <c r="D24" s="246"/>
      <c r="E24" s="246"/>
      <c r="F24" s="246"/>
      <c r="G24" s="236"/>
      <c r="H24" s="247">
        <f ca="1">NOW()-1</f>
        <v>41148.356660879632</v>
      </c>
      <c r="I24" s="248" t="s">
        <v>482</v>
      </c>
      <c r="J24" s="249"/>
    </row>
    <row r="25" spans="1:10">
      <c r="A25" s="250" t="s">
        <v>483</v>
      </c>
      <c r="B25" s="251" t="s">
        <v>484</v>
      </c>
      <c r="C25" s="251" t="s">
        <v>485</v>
      </c>
      <c r="D25" s="162" t="s">
        <v>486</v>
      </c>
      <c r="E25" s="162" t="s">
        <v>487</v>
      </c>
      <c r="F25" s="162" t="s">
        <v>760</v>
      </c>
      <c r="G25" s="252" t="s">
        <v>488</v>
      </c>
      <c r="H25" s="252" t="s">
        <v>462</v>
      </c>
      <c r="I25" s="253" t="s">
        <v>489</v>
      </c>
      <c r="J25" s="254" t="s">
        <v>490</v>
      </c>
    </row>
    <row r="26" spans="1:10">
      <c r="A26" s="329" t="s">
        <v>965</v>
      </c>
      <c r="B26" s="255" t="s">
        <v>966</v>
      </c>
      <c r="C26" s="255" t="s">
        <v>845</v>
      </c>
      <c r="D26" s="152">
        <f>+'FT GAS'!AJ52</f>
        <v>5410.9589041095887</v>
      </c>
      <c r="E26" s="152">
        <f>+'FT GAS'!AJ51</f>
        <v>1975000</v>
      </c>
      <c r="F26" s="165">
        <f>E26/MCFS!AF13</f>
        <v>0.16094864160326205</v>
      </c>
      <c r="G26" s="243">
        <f>+'FT GAS'!AJ54</f>
        <v>3.4586886075949366</v>
      </c>
      <c r="H26" s="243">
        <f>('FT GAS'!X51*'FT GAS'!X109+'FT GAS'!Y51*'FT GAS'!Y109+'FT GAS'!Z51*'FT GAS'!Z109+'FT GAS'!AA51*'FT GAS'!AA109+'FT GAS'!AB51*'FT GAS'!AB109+'FT GAS'!AC51*'FT GAS'!AC109+'FT GAS'!AD51*'FT GAS'!AD109+'FT GAS'!AE51*'FT GAS'!AE109+'FT GAS'!AF51*'FT GAS'!AF109+'FT GAS'!AG51*'FT GAS'!AG109+'FT GAS'!AH51*'FT GAS'!AH109+'FT GAS'!AI51*'FT GAS'!AI109)/'FT GAS'!AJ51</f>
        <v>3.3350379746835443</v>
      </c>
      <c r="I26" s="256">
        <f>H26-G26</f>
        <v>-0.12365063291139222</v>
      </c>
      <c r="J26" s="239">
        <f>E26*I26</f>
        <v>-244209.99999999965</v>
      </c>
    </row>
    <row r="27" spans="1:10" ht="21" thickBot="1">
      <c r="A27" s="257" t="s">
        <v>932</v>
      </c>
      <c r="B27" s="258"/>
      <c r="C27" s="258"/>
      <c r="D27" s="259"/>
      <c r="E27" s="260">
        <f>SUM(E26:E26)</f>
        <v>1975000</v>
      </c>
      <c r="F27" s="261">
        <f>SUM(F26:F26)</f>
        <v>0.16094864160326205</v>
      </c>
      <c r="G27" s="262">
        <f>(E26*G26)/E27</f>
        <v>3.4586886075949366</v>
      </c>
      <c r="H27" s="262">
        <f>(E26*H26)/E27</f>
        <v>3.3350379746835443</v>
      </c>
      <c r="I27" s="263">
        <f>I26</f>
        <v>-0.12365063291139222</v>
      </c>
      <c r="J27" s="264">
        <f>SUM(J26:J26)</f>
        <v>-244209.99999999965</v>
      </c>
    </row>
    <row r="28" spans="1:10" ht="21" thickBot="1">
      <c r="A28" s="357"/>
      <c r="B28" s="255"/>
      <c r="C28" s="255"/>
      <c r="D28" s="152"/>
      <c r="E28" s="152"/>
      <c r="F28" s="152"/>
      <c r="G28" s="243"/>
      <c r="H28" s="243"/>
      <c r="I28" s="256"/>
      <c r="J28" s="234"/>
    </row>
    <row r="29" spans="1:10">
      <c r="A29" s="265"/>
      <c r="B29" s="245"/>
      <c r="C29" s="245"/>
      <c r="D29" s="246"/>
      <c r="E29" s="246"/>
      <c r="F29" s="246"/>
      <c r="G29" s="236"/>
      <c r="H29" s="247">
        <f ca="1">H24</f>
        <v>41148.356660879632</v>
      </c>
      <c r="I29" s="248" t="s">
        <v>491</v>
      </c>
      <c r="J29" s="249"/>
    </row>
    <row r="30" spans="1:10">
      <c r="A30" s="266"/>
      <c r="B30" s="255"/>
      <c r="C30" s="255"/>
      <c r="D30" s="152"/>
      <c r="E30" s="267" t="s">
        <v>492</v>
      </c>
      <c r="F30" s="162" t="s">
        <v>760</v>
      </c>
      <c r="G30" s="252" t="s">
        <v>493</v>
      </c>
      <c r="H30" s="252" t="s">
        <v>761</v>
      </c>
      <c r="I30" s="253" t="s">
        <v>761</v>
      </c>
      <c r="J30" s="254" t="s">
        <v>490</v>
      </c>
    </row>
    <row r="31" spans="1:10" ht="21" thickBot="1">
      <c r="A31" s="257" t="s">
        <v>762</v>
      </c>
      <c r="B31" s="258"/>
      <c r="C31" s="258"/>
      <c r="D31" s="259"/>
      <c r="E31" s="270">
        <f>ROUND(-SUM('STORAGE TOT'!T9:W9),-5)</f>
        <v>3100000</v>
      </c>
      <c r="F31" s="302">
        <f>E31/MCFS!$AF$13</f>
        <v>0.25262824757980373</v>
      </c>
      <c r="G31" s="262">
        <f>+'STORAGE TOT'!R19</f>
        <v>3.2618875312575533</v>
      </c>
      <c r="H31" s="262">
        <f>AVERAGE('FT GAS'!AC109:AF109)+(0.64*AVERAGE('FT GAS'!AC113:AF113)+0.36*AVERAGE('FT GAS'!AC111:AF111))</f>
        <v>3.5101999999999998</v>
      </c>
      <c r="I31" s="263">
        <f>H31-G31</f>
        <v>0.2483124687424465</v>
      </c>
      <c r="J31" s="264">
        <f>E31*I31</f>
        <v>769768.65310158418</v>
      </c>
    </row>
    <row r="32" spans="1:10" ht="21" thickBot="1"/>
    <row r="33" spans="1:10">
      <c r="A33" s="244"/>
      <c r="B33" s="245"/>
      <c r="C33" s="245"/>
      <c r="D33" s="246"/>
      <c r="E33" s="246"/>
      <c r="F33" s="268"/>
      <c r="G33" s="236"/>
      <c r="H33" s="247">
        <f ca="1">H24</f>
        <v>41148.356660879632</v>
      </c>
      <c r="I33" s="248" t="s">
        <v>494</v>
      </c>
      <c r="J33" s="269"/>
    </row>
    <row r="34" spans="1:10">
      <c r="A34" s="250"/>
      <c r="B34" s="255"/>
      <c r="C34" s="255"/>
      <c r="D34" s="152"/>
      <c r="E34" s="162" t="s">
        <v>495</v>
      </c>
      <c r="F34" s="162" t="s">
        <v>760</v>
      </c>
      <c r="G34" s="252" t="s">
        <v>496</v>
      </c>
      <c r="H34" s="252" t="s">
        <v>462</v>
      </c>
      <c r="I34" s="253" t="s">
        <v>489</v>
      </c>
      <c r="J34" s="254" t="s">
        <v>490</v>
      </c>
    </row>
    <row r="35" spans="1:10" ht="21" thickBot="1">
      <c r="A35" s="257" t="s">
        <v>933</v>
      </c>
      <c r="B35" s="258"/>
      <c r="C35" s="258"/>
      <c r="D35" s="259"/>
      <c r="E35" s="260">
        <f>SUM(E27,E31)</f>
        <v>5075000</v>
      </c>
      <c r="F35" s="261">
        <f>SUM(F27,F31)</f>
        <v>0.41357688918306579</v>
      </c>
      <c r="G35" s="262">
        <f>(E27*G27+E31*G31)/E35</f>
        <v>3.3384751422459931</v>
      </c>
      <c r="H35" s="262">
        <f>(E27*H27+E31*H31)/E35</f>
        <v>3.4420334975369458</v>
      </c>
      <c r="I35" s="263">
        <f>H35-G35</f>
        <v>0.1035583552909527</v>
      </c>
      <c r="J35" s="264">
        <f>SUM(J27,J31)</f>
        <v>525558.65310158452</v>
      </c>
    </row>
    <row r="36" spans="1:10" ht="21" thickBot="1">
      <c r="A36" s="479"/>
      <c r="B36" s="255"/>
      <c r="C36" s="255"/>
      <c r="D36" s="152"/>
      <c r="E36" s="162"/>
      <c r="F36" s="267"/>
      <c r="G36" s="252"/>
      <c r="H36" s="252"/>
      <c r="I36" s="253"/>
      <c r="J36" s="401"/>
    </row>
    <row r="37" spans="1:10">
      <c r="A37" s="244" t="s">
        <v>889</v>
      </c>
      <c r="B37" s="245"/>
      <c r="C37" s="245"/>
      <c r="D37" s="246"/>
      <c r="E37" s="246"/>
      <c r="F37" s="246"/>
      <c r="G37" s="236"/>
      <c r="H37" s="247">
        <f ca="1">NOW()-1</f>
        <v>41148.356660879632</v>
      </c>
      <c r="I37" s="248" t="s">
        <v>482</v>
      </c>
      <c r="J37" s="249"/>
    </row>
    <row r="38" spans="1:10">
      <c r="A38" s="250" t="s">
        <v>483</v>
      </c>
      <c r="B38" s="251" t="s">
        <v>484</v>
      </c>
      <c r="C38" s="251" t="s">
        <v>485</v>
      </c>
      <c r="D38" s="162" t="s">
        <v>486</v>
      </c>
      <c r="E38" s="162" t="s">
        <v>487</v>
      </c>
      <c r="F38" s="162" t="s">
        <v>890</v>
      </c>
      <c r="G38" s="252" t="s">
        <v>488</v>
      </c>
      <c r="H38" s="252" t="s">
        <v>462</v>
      </c>
      <c r="I38" s="253" t="s">
        <v>489</v>
      </c>
      <c r="J38" s="254" t="s">
        <v>490</v>
      </c>
    </row>
    <row r="39" spans="1:10" ht="21" thickBot="1">
      <c r="A39" s="389">
        <v>41023</v>
      </c>
      <c r="B39" s="258" t="s">
        <v>973</v>
      </c>
      <c r="C39" s="258" t="s">
        <v>796</v>
      </c>
      <c r="D39" s="259">
        <f>+'FT GAS'!AJ68</f>
        <v>3745.0657894736842</v>
      </c>
      <c r="E39" s="260">
        <f>+'FT GAS'!AJ67</f>
        <v>1138500</v>
      </c>
      <c r="F39" s="261">
        <f>E39/MCFS!AF15</f>
        <v>0.27311175821778338</v>
      </c>
      <c r="G39" s="262">
        <f>+'FT GAS'!AJ70</f>
        <v>2.69</v>
      </c>
      <c r="H39" s="262">
        <f>('FT GAS'!X67*'FT GAS'!X109+'FT GAS'!Y67*'FT GAS'!Y109+'FT GAS'!Z67*'FT GAS'!Z109+'FT GAS'!AA67*'FT GAS'!AA109+'FT GAS'!AB67*'FT GAS'!AB109+'FT GAS'!AC67*'FT GAS'!AC109+'FT GAS'!AD67*'FT GAS'!AD109+'FT GAS'!AE67*'FT GAS'!AE109+'FT GAS'!AF67*'FT GAS'!AF109+'FT GAS'!AG67*'FT GAS'!AG109)/'FT GAS'!AJ67</f>
        <v>3.3226890645586296</v>
      </c>
      <c r="I39" s="263">
        <f>H39-G39</f>
        <v>0.63268906455862961</v>
      </c>
      <c r="J39" s="264">
        <f>I39*E39</f>
        <v>720316.49999999977</v>
      </c>
    </row>
    <row r="40" spans="1:10">
      <c r="A40" s="482"/>
      <c r="B40" s="255"/>
      <c r="C40" s="255"/>
      <c r="D40" s="152"/>
      <c r="E40" s="162"/>
      <c r="F40" s="267"/>
      <c r="G40" s="252"/>
      <c r="H40" s="252"/>
      <c r="I40" s="253"/>
      <c r="J40" s="401"/>
    </row>
    <row r="42" spans="1:10" ht="21" thickBot="1"/>
    <row r="43" spans="1:10">
      <c r="A43" s="244" t="s">
        <v>481</v>
      </c>
      <c r="B43" s="245"/>
      <c r="C43" s="245"/>
      <c r="D43" s="246"/>
      <c r="E43" s="246"/>
      <c r="F43" s="246"/>
      <c r="G43" s="236"/>
      <c r="H43" s="247">
        <f ca="1">NOW()-1</f>
        <v>41148.356660879632</v>
      </c>
      <c r="I43" s="248" t="s">
        <v>482</v>
      </c>
      <c r="J43" s="249"/>
    </row>
    <row r="44" spans="1:10">
      <c r="A44" s="250" t="s">
        <v>483</v>
      </c>
      <c r="B44" s="251" t="s">
        <v>484</v>
      </c>
      <c r="C44" s="251" t="s">
        <v>485</v>
      </c>
      <c r="D44" s="162" t="s">
        <v>486</v>
      </c>
      <c r="E44" s="162" t="s">
        <v>487</v>
      </c>
      <c r="F44" s="162" t="s">
        <v>760</v>
      </c>
      <c r="G44" s="252" t="s">
        <v>488</v>
      </c>
      <c r="H44" s="252" t="s">
        <v>462</v>
      </c>
      <c r="I44" s="253" t="s">
        <v>489</v>
      </c>
      <c r="J44" s="254" t="s">
        <v>490</v>
      </c>
    </row>
    <row r="45" spans="1:10">
      <c r="A45" s="329" t="s">
        <v>968</v>
      </c>
      <c r="B45" s="255" t="s">
        <v>969</v>
      </c>
      <c r="C45" s="255" t="s">
        <v>845</v>
      </c>
      <c r="D45" s="152">
        <f>+'FT GAS'!BA52</f>
        <v>2500</v>
      </c>
      <c r="E45" s="152">
        <f>+'FT GAS'!BA51</f>
        <v>307500</v>
      </c>
      <c r="F45" s="165">
        <f>E45/MCFS!AV13</f>
        <v>2.4709210969278302E-2</v>
      </c>
      <c r="G45" s="243">
        <f>+'FT GAS'!BA54</f>
        <v>3.6322520325203254</v>
      </c>
      <c r="H45" s="243">
        <f>('FT GAS'!AO51*'FT GAS'!AO109+'FT GAS'!AP51*'FT GAS'!AP109+'FT GAS'!AQ51*'FT GAS'!AQ109+'FT GAS'!AR51*'FT GAS'!AR109)/'FT GAS'!BA51</f>
        <v>3.6322520325203254</v>
      </c>
      <c r="I45" s="256">
        <f>H45-G45</f>
        <v>0</v>
      </c>
      <c r="J45" s="239">
        <f>E45*I45</f>
        <v>0</v>
      </c>
    </row>
    <row r="46" spans="1:10" ht="21" thickBot="1">
      <c r="A46" s="257" t="s">
        <v>967</v>
      </c>
      <c r="B46" s="258"/>
      <c r="C46" s="258"/>
      <c r="D46" s="259"/>
      <c r="E46" s="260">
        <f>SUM(E45:E45)</f>
        <v>307500</v>
      </c>
      <c r="F46" s="261">
        <f>SUM(F45:F45)</f>
        <v>2.4709210969278302E-2</v>
      </c>
      <c r="G46" s="262">
        <f>(E45*G45)/E46</f>
        <v>3.6322520325203254</v>
      </c>
      <c r="H46" s="262">
        <f>(E45*H45)/E46</f>
        <v>3.6322520325203254</v>
      </c>
      <c r="I46" s="263">
        <f>I45</f>
        <v>0</v>
      </c>
      <c r="J46" s="264">
        <f>SUM(J45:J45)</f>
        <v>0</v>
      </c>
    </row>
    <row r="47" spans="1:10" ht="21" thickBot="1">
      <c r="A47" s="357"/>
      <c r="B47" s="255"/>
      <c r="C47" s="255"/>
      <c r="D47" s="152"/>
      <c r="E47" s="152"/>
      <c r="F47" s="152"/>
      <c r="G47" s="243"/>
      <c r="H47" s="243"/>
      <c r="I47" s="256"/>
      <c r="J47" s="234"/>
    </row>
    <row r="48" spans="1:10">
      <c r="A48" s="265"/>
      <c r="B48" s="245"/>
      <c r="C48" s="245"/>
      <c r="D48" s="246"/>
      <c r="E48" s="246"/>
      <c r="F48" s="246"/>
      <c r="G48" s="236"/>
      <c r="H48" s="247">
        <f ca="1">H43</f>
        <v>41148.356660879632</v>
      </c>
      <c r="I48" s="248" t="s">
        <v>491</v>
      </c>
      <c r="J48" s="249"/>
    </row>
    <row r="49" spans="1:10">
      <c r="A49" s="266"/>
      <c r="B49" s="255"/>
      <c r="C49" s="255"/>
      <c r="D49" s="152"/>
      <c r="E49" s="267" t="s">
        <v>492</v>
      </c>
      <c r="F49" s="162" t="s">
        <v>760</v>
      </c>
      <c r="G49" s="252" t="s">
        <v>493</v>
      </c>
      <c r="H49" s="252" t="s">
        <v>761</v>
      </c>
      <c r="I49" s="253" t="s">
        <v>761</v>
      </c>
      <c r="J49" s="254" t="s">
        <v>490</v>
      </c>
    </row>
    <row r="50" spans="1:10" ht="21" thickBot="1">
      <c r="A50" s="257" t="s">
        <v>762</v>
      </c>
      <c r="B50" s="258"/>
      <c r="C50" s="258"/>
      <c r="D50" s="259"/>
      <c r="E50" s="270">
        <f>ROUND(-SUM('STORAGE TOT'!AE9:AI9),-5)</f>
        <v>3100000</v>
      </c>
      <c r="F50" s="302">
        <f>E50/MCFS!$AV$13</f>
        <v>0.24910098863337476</v>
      </c>
      <c r="G50" s="262">
        <f>+'STORAGE TOT'!AD19</f>
        <v>3.4481917069787755</v>
      </c>
      <c r="H50" s="262">
        <f>AVERAGE('FT GAS'!AT109:AW109)+(0.64*AVERAGE('FT GAS'!AT113:AW113)+0.36*AVERAGE('FT GAS'!AT111:AW111))</f>
        <v>3.9857500000000003</v>
      </c>
      <c r="I50" s="263">
        <f>H50-G50</f>
        <v>0.53755829302122482</v>
      </c>
      <c r="J50" s="264">
        <f>E50*I50</f>
        <v>1666430.7083657968</v>
      </c>
    </row>
    <row r="51" spans="1:10" ht="21" thickBot="1"/>
    <row r="52" spans="1:10">
      <c r="A52" s="244"/>
      <c r="B52" s="245"/>
      <c r="C52" s="245"/>
      <c r="D52" s="246"/>
      <c r="E52" s="246"/>
      <c r="F52" s="268"/>
      <c r="G52" s="236"/>
      <c r="H52" s="247">
        <f ca="1">H43</f>
        <v>41148.356660879632</v>
      </c>
      <c r="I52" s="248" t="s">
        <v>494</v>
      </c>
      <c r="J52" s="269"/>
    </row>
    <row r="53" spans="1:10">
      <c r="A53" s="250"/>
      <c r="B53" s="255"/>
      <c r="C53" s="255"/>
      <c r="D53" s="152"/>
      <c r="E53" s="162" t="s">
        <v>495</v>
      </c>
      <c r="F53" s="162" t="s">
        <v>760</v>
      </c>
      <c r="G53" s="252" t="s">
        <v>496</v>
      </c>
      <c r="H53" s="252" t="s">
        <v>462</v>
      </c>
      <c r="I53" s="253" t="s">
        <v>489</v>
      </c>
      <c r="J53" s="254" t="s">
        <v>490</v>
      </c>
    </row>
    <row r="54" spans="1:10" ht="21" thickBot="1">
      <c r="A54" s="257" t="s">
        <v>970</v>
      </c>
      <c r="B54" s="258"/>
      <c r="C54" s="258"/>
      <c r="D54" s="259"/>
      <c r="E54" s="260">
        <f>SUM(E46,E50)</f>
        <v>3407500</v>
      </c>
      <c r="F54" s="261">
        <f>SUM(F46,F50)</f>
        <v>0.27381019960265307</v>
      </c>
      <c r="G54" s="262">
        <f>(E46*G46+E50*G50)/E54</f>
        <v>3.464801699672547</v>
      </c>
      <c r="H54" s="262">
        <f>(E46*H46+E50*H50)/E54</f>
        <v>3.9538495964783573</v>
      </c>
      <c r="I54" s="263">
        <f>H54-G54</f>
        <v>0.48904789680581029</v>
      </c>
      <c r="J54" s="264">
        <f>SUM(J46,J50)</f>
        <v>1666430.7083657968</v>
      </c>
    </row>
  </sheetData>
  <phoneticPr fontId="10" type="noConversion"/>
  <printOptions horizontalCentered="1" verticalCentered="1"/>
  <pageMargins left="0.75" right="0.75" top="1" bottom="1" header="0.5" footer="0.5"/>
  <pageSetup scale="3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9">
    <pageSetUpPr fitToPage="1"/>
  </sheetPr>
  <dimension ref="A1:O53"/>
  <sheetViews>
    <sheetView zoomScale="60" zoomScaleNormal="60" workbookViewId="0">
      <pane xSplit="1" ySplit="2" topLeftCell="F3" activePane="bottomRight" state="frozen"/>
      <selection activeCell="I74" sqref="I74"/>
      <selection pane="topRight" activeCell="I74" sqref="I74"/>
      <selection pane="bottomLeft" activeCell="I74" sqref="I74"/>
      <selection pane="bottomRight" activeCell="O44" sqref="O44"/>
    </sheetView>
  </sheetViews>
  <sheetFormatPr defaultRowHeight="20.25"/>
  <cols>
    <col min="1" max="1" width="67.5546875" style="10" bestFit="1" customWidth="1"/>
    <col min="2" max="4" width="11" style="10" bestFit="1" customWidth="1"/>
    <col min="5" max="5" width="11" style="10" customWidth="1"/>
    <col min="6" max="6" width="13.21875" style="10" bestFit="1" customWidth="1"/>
    <col min="7" max="10" width="15.44140625" style="10" bestFit="1" customWidth="1"/>
    <col min="11" max="13" width="12.88671875" style="10" bestFit="1" customWidth="1"/>
    <col min="14" max="14" width="13.21875" style="10" bestFit="1" customWidth="1"/>
    <col min="15" max="16384" width="8.88671875" style="10"/>
  </cols>
  <sheetData>
    <row r="1" spans="1:14">
      <c r="A1" s="10" t="s">
        <v>85</v>
      </c>
      <c r="B1" s="10">
        <v>31</v>
      </c>
      <c r="C1" s="10">
        <v>31</v>
      </c>
      <c r="D1" s="10">
        <v>30</v>
      </c>
      <c r="E1" s="10">
        <v>31</v>
      </c>
      <c r="F1" s="10">
        <v>30</v>
      </c>
      <c r="G1" s="10">
        <v>31</v>
      </c>
      <c r="H1" s="10">
        <v>31</v>
      </c>
      <c r="I1" s="10">
        <v>28</v>
      </c>
      <c r="J1" s="10">
        <v>31</v>
      </c>
      <c r="K1" s="10">
        <v>30</v>
      </c>
      <c r="L1" s="10">
        <v>31</v>
      </c>
      <c r="M1" s="10">
        <v>30</v>
      </c>
    </row>
    <row r="2" spans="1:14" s="46" customFormat="1">
      <c r="A2" s="2" t="s">
        <v>67</v>
      </c>
      <c r="B2" s="14">
        <v>40725</v>
      </c>
      <c r="C2" s="14">
        <v>40756</v>
      </c>
      <c r="D2" s="14">
        <v>40787</v>
      </c>
      <c r="E2" s="14">
        <v>40817</v>
      </c>
      <c r="F2" s="14">
        <v>40848</v>
      </c>
      <c r="G2" s="14">
        <v>40878</v>
      </c>
      <c r="H2" s="14">
        <v>40909</v>
      </c>
      <c r="I2" s="14">
        <v>40940</v>
      </c>
      <c r="J2" s="14">
        <v>40969</v>
      </c>
      <c r="K2" s="14">
        <v>41000</v>
      </c>
      <c r="L2" s="14">
        <v>41030</v>
      </c>
      <c r="M2" s="14">
        <v>41061</v>
      </c>
      <c r="N2" s="142" t="s">
        <v>914</v>
      </c>
    </row>
    <row r="3" spans="1:14" s="46" customFormat="1">
      <c r="A3" s="2" t="s">
        <v>986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493">
        <f>13030/10</f>
        <v>1303</v>
      </c>
      <c r="M3" s="14"/>
      <c r="N3" s="142"/>
    </row>
    <row r="4" spans="1:14" s="46" customFormat="1">
      <c r="A4" s="2" t="s">
        <v>988</v>
      </c>
      <c r="B4" s="394">
        <f>42463/10</f>
        <v>4246.3</v>
      </c>
      <c r="C4" s="394">
        <f>52754/10</f>
        <v>5275.4</v>
      </c>
      <c r="D4" s="394">
        <f xml:space="preserve"> 47604/10</f>
        <v>4760.3999999999996</v>
      </c>
      <c r="E4" s="394">
        <f>50290/10</f>
        <v>5029</v>
      </c>
      <c r="F4" s="394">
        <f>51403/10</f>
        <v>5140.3</v>
      </c>
      <c r="G4" s="394">
        <f>48613/10</f>
        <v>4861.3</v>
      </c>
      <c r="H4" s="394">
        <f>52661/10</f>
        <v>5266.1</v>
      </c>
      <c r="I4" s="394">
        <f>49605/10</f>
        <v>4960.5</v>
      </c>
      <c r="J4" s="394">
        <f>54236/10</f>
        <v>5423.6</v>
      </c>
      <c r="K4" s="394">
        <f>38881/10</f>
        <v>3888.1</v>
      </c>
      <c r="L4" s="493">
        <f>48215/10</f>
        <v>4821.5</v>
      </c>
      <c r="M4" s="131"/>
      <c r="N4" s="142"/>
    </row>
    <row r="5" spans="1:14" s="46" customFormat="1">
      <c r="A5" s="2" t="s">
        <v>989</v>
      </c>
      <c r="B5" s="394"/>
      <c r="C5" s="394"/>
      <c r="D5" s="394">
        <f>51695/10</f>
        <v>5169.5</v>
      </c>
      <c r="E5" s="394">
        <f>125400/10</f>
        <v>12540</v>
      </c>
      <c r="F5" s="394">
        <f>142490/10</f>
        <v>14249</v>
      </c>
      <c r="G5" s="394">
        <f>183494/10</f>
        <v>18349.400000000001</v>
      </c>
      <c r="H5" s="394">
        <f>147718/10</f>
        <v>14771.8</v>
      </c>
      <c r="I5" s="394">
        <f>145108/10</f>
        <v>14510.8</v>
      </c>
      <c r="J5" s="394">
        <f>133223/10</f>
        <v>13322.3</v>
      </c>
      <c r="K5" s="394">
        <f>108832/10</f>
        <v>10883.2</v>
      </c>
      <c r="L5" s="493">
        <f>115650/10</f>
        <v>11565</v>
      </c>
      <c r="M5" s="131"/>
      <c r="N5" s="142"/>
    </row>
    <row r="6" spans="1:14" s="46" customFormat="1">
      <c r="A6" s="2" t="s">
        <v>939</v>
      </c>
      <c r="B6" s="394">
        <f>34356/10</f>
        <v>3435.6</v>
      </c>
      <c r="C6" s="394">
        <f>33074/10</f>
        <v>3307.4</v>
      </c>
      <c r="D6" s="394">
        <f>28751/10</f>
        <v>2875.1</v>
      </c>
      <c r="E6" s="394">
        <f>34381/10</f>
        <v>3438.1</v>
      </c>
      <c r="F6" s="394">
        <f>32327/10</f>
        <v>3232.7</v>
      </c>
      <c r="G6" s="394">
        <f>31709/10</f>
        <v>3170.9</v>
      </c>
      <c r="H6" s="394">
        <f>23417/10</f>
        <v>2341.6999999999998</v>
      </c>
      <c r="I6" s="394">
        <f>32728/10</f>
        <v>3272.8</v>
      </c>
      <c r="J6" s="394">
        <f>31945/10</f>
        <v>3194.5</v>
      </c>
      <c r="K6" s="394">
        <f>43564/10</f>
        <v>4356.3999999999996</v>
      </c>
      <c r="L6" s="493">
        <f>(37145+55324)/10</f>
        <v>9246.9</v>
      </c>
      <c r="M6" s="131"/>
      <c r="N6" s="142"/>
    </row>
    <row r="7" spans="1:14" s="46" customFormat="1">
      <c r="A7" s="2" t="s">
        <v>901</v>
      </c>
      <c r="B7" s="394">
        <f>(38444+89987)/10</f>
        <v>12843.1</v>
      </c>
      <c r="C7" s="394">
        <f>(46320+99017)/10</f>
        <v>14533.7</v>
      </c>
      <c r="D7" s="394">
        <f>(41068+51447)/10</f>
        <v>9251.5</v>
      </c>
      <c r="E7" s="394">
        <f>45276/10</f>
        <v>4527.6000000000004</v>
      </c>
      <c r="F7" s="394">
        <f>75374/10</f>
        <v>7537.4</v>
      </c>
      <c r="G7" s="394">
        <f>86409/10</f>
        <v>8640.9</v>
      </c>
      <c r="H7" s="394">
        <f>95433/10</f>
        <v>9543.2999999999993</v>
      </c>
      <c r="I7" s="394">
        <f>90957/10</f>
        <v>9095.7000000000007</v>
      </c>
      <c r="J7" s="394">
        <f>60611/10</f>
        <v>6061.1</v>
      </c>
      <c r="K7" s="394">
        <f>56165/10</f>
        <v>5616.5</v>
      </c>
      <c r="L7" s="493">
        <f>48943/10</f>
        <v>4894.3</v>
      </c>
      <c r="M7" s="131"/>
      <c r="N7" s="142"/>
    </row>
    <row r="8" spans="1:14" s="46" customFormat="1">
      <c r="A8" s="2" t="s">
        <v>990</v>
      </c>
      <c r="B8" s="394"/>
      <c r="C8" s="394"/>
      <c r="D8" s="394"/>
      <c r="E8" s="394"/>
      <c r="F8" s="394"/>
      <c r="G8" s="394"/>
      <c r="H8" s="394"/>
      <c r="I8" s="394"/>
      <c r="J8" s="394"/>
      <c r="K8" s="394"/>
      <c r="L8" s="493">
        <f>75577/10</f>
        <v>7557.7</v>
      </c>
      <c r="M8" s="28">
        <f>85054/10</f>
        <v>8505.4</v>
      </c>
      <c r="N8" s="142"/>
    </row>
    <row r="9" spans="1:14" s="46" customFormat="1">
      <c r="A9" s="2" t="s">
        <v>991</v>
      </c>
      <c r="B9" s="394"/>
      <c r="C9" s="394"/>
      <c r="D9" s="394"/>
      <c r="E9" s="394"/>
      <c r="F9" s="394"/>
      <c r="G9" s="394"/>
      <c r="H9" s="394"/>
      <c r="I9" s="394"/>
      <c r="J9" s="394"/>
      <c r="K9" s="394"/>
      <c r="L9" s="493">
        <f>19986/10</f>
        <v>1998.6</v>
      </c>
      <c r="M9" s="28">
        <f>18843/10</f>
        <v>1884.3</v>
      </c>
      <c r="N9" s="142"/>
    </row>
    <row r="10" spans="1:14" s="46" customFormat="1">
      <c r="A10" s="490" t="s">
        <v>981</v>
      </c>
      <c r="L10" s="493">
        <f>67892/10</f>
        <v>6789.2</v>
      </c>
      <c r="M10" s="131"/>
      <c r="N10" s="142"/>
    </row>
    <row r="11" spans="1:14" s="46" customFormat="1">
      <c r="A11" s="490" t="s">
        <v>982</v>
      </c>
      <c r="L11" s="493">
        <f>30194/10</f>
        <v>3019.4</v>
      </c>
      <c r="M11" s="131"/>
      <c r="N11" s="142"/>
    </row>
    <row r="12" spans="1:14" s="46" customFormat="1">
      <c r="A12" s="490" t="s">
        <v>983</v>
      </c>
      <c r="L12" s="493">
        <f>(7009+4364+8229)/10</f>
        <v>1960.2</v>
      </c>
      <c r="M12" s="131"/>
      <c r="N12" s="142"/>
    </row>
    <row r="13" spans="1:14" s="46" customFormat="1">
      <c r="A13" s="490" t="s">
        <v>985</v>
      </c>
      <c r="L13" s="493">
        <f>17735/10</f>
        <v>1773.5</v>
      </c>
      <c r="M13" s="131"/>
      <c r="N13" s="142"/>
    </row>
    <row r="14" spans="1:14" s="46" customFormat="1">
      <c r="A14" s="490" t="s">
        <v>984</v>
      </c>
      <c r="L14" s="493">
        <f>12521/10</f>
        <v>1252.0999999999999</v>
      </c>
      <c r="M14" s="131"/>
      <c r="N14" s="142"/>
    </row>
    <row r="15" spans="1:14" s="46" customFormat="1">
      <c r="A15" s="2" t="s">
        <v>940</v>
      </c>
      <c r="B15" s="394">
        <f>(9207)/10</f>
        <v>920.7</v>
      </c>
      <c r="C15" s="394">
        <f>(12199)/10</f>
        <v>1219.9000000000001</v>
      </c>
      <c r="D15" s="394">
        <f>(10922)/10</f>
        <v>1092.2</v>
      </c>
      <c r="E15" s="394">
        <f>13595/10</f>
        <v>1359.5</v>
      </c>
      <c r="F15" s="394">
        <f>14166/10</f>
        <v>1416.6</v>
      </c>
      <c r="G15" s="394">
        <f>15824/10</f>
        <v>1582.4</v>
      </c>
      <c r="H15" s="394">
        <f>14813/10</f>
        <v>1481.3</v>
      </c>
      <c r="I15" s="394">
        <f>14242/10</f>
        <v>1424.2</v>
      </c>
      <c r="J15" s="394">
        <f>13784/10</f>
        <v>1378.4</v>
      </c>
      <c r="K15" s="394">
        <f>12459/10</f>
        <v>1245.9000000000001</v>
      </c>
      <c r="L15" s="493">
        <f>12805/10</f>
        <v>1280.5</v>
      </c>
      <c r="M15" s="131"/>
      <c r="N15" s="142"/>
    </row>
    <row r="16" spans="1:14" s="46" customFormat="1">
      <c r="A16" s="2" t="s">
        <v>979</v>
      </c>
      <c r="B16" s="394"/>
      <c r="C16" s="394"/>
      <c r="D16" s="394"/>
      <c r="E16" s="394"/>
      <c r="F16" s="394"/>
      <c r="G16" s="394"/>
      <c r="H16" s="394"/>
      <c r="I16" s="394"/>
      <c r="J16" s="394"/>
      <c r="K16" s="394"/>
      <c r="L16" s="493">
        <f>174220/10</f>
        <v>17422</v>
      </c>
      <c r="M16" s="131"/>
      <c r="N16" s="142"/>
    </row>
    <row r="17" spans="1:14" s="46" customFormat="1">
      <c r="A17" s="2" t="s">
        <v>987</v>
      </c>
      <c r="B17" s="394"/>
      <c r="C17" s="394"/>
      <c r="D17" s="394"/>
      <c r="E17" s="394"/>
      <c r="F17" s="394"/>
      <c r="G17" s="394"/>
      <c r="H17" s="394"/>
      <c r="I17" s="394"/>
      <c r="J17" s="394"/>
      <c r="K17" s="394"/>
      <c r="L17" s="493">
        <f>4372/10</f>
        <v>437.2</v>
      </c>
      <c r="M17" s="131"/>
      <c r="N17" s="142"/>
    </row>
    <row r="18" spans="1:14" s="46" customFormat="1">
      <c r="A18" s="2" t="s">
        <v>902</v>
      </c>
      <c r="B18" s="394">
        <f>67064/10</f>
        <v>6706.4</v>
      </c>
      <c r="C18" s="394">
        <f>88651/10</f>
        <v>8865.1</v>
      </c>
      <c r="D18" s="394">
        <f>67623/10</f>
        <v>6762.3</v>
      </c>
      <c r="E18" s="394">
        <f>89128/10</f>
        <v>8912.7999999999993</v>
      </c>
      <c r="F18" s="394">
        <f>162106/10</f>
        <v>16210.6</v>
      </c>
      <c r="G18" s="394">
        <f>174016/10</f>
        <v>17401.599999999999</v>
      </c>
      <c r="H18" s="394">
        <f>189351/10</f>
        <v>18935.099999999999</v>
      </c>
      <c r="I18" s="394">
        <f>187875/10</f>
        <v>18787.5</v>
      </c>
      <c r="J18" s="394">
        <f>119181/10</f>
        <v>11918.1</v>
      </c>
      <c r="K18" s="394">
        <f>100520/10</f>
        <v>10052</v>
      </c>
      <c r="L18" s="493">
        <f>121546/10</f>
        <v>12154.6</v>
      </c>
      <c r="M18" s="28">
        <f>102887/10</f>
        <v>10288.700000000001</v>
      </c>
      <c r="N18" s="142"/>
    </row>
    <row r="19" spans="1:14" s="46" customFormat="1">
      <c r="A19" s="2" t="s">
        <v>903</v>
      </c>
      <c r="B19" s="394">
        <v>2690.6</v>
      </c>
      <c r="C19" s="394">
        <f>35430/10</f>
        <v>3543</v>
      </c>
      <c r="D19" s="394">
        <f>35426/10</f>
        <v>3542.6</v>
      </c>
      <c r="E19" s="394">
        <f>31659/10</f>
        <v>3165.9</v>
      </c>
      <c r="F19" s="394">
        <f>32588/10</f>
        <v>3258.8</v>
      </c>
      <c r="G19" s="394">
        <f>40250/10</f>
        <v>4025</v>
      </c>
      <c r="H19" s="394">
        <f>30520/10</f>
        <v>3052</v>
      </c>
      <c r="I19" s="394">
        <f>32540/10</f>
        <v>3254</v>
      </c>
      <c r="J19" s="394">
        <f>33703/10</f>
        <v>3370.3</v>
      </c>
      <c r="K19" s="394">
        <f>31630/10</f>
        <v>3163</v>
      </c>
      <c r="L19" s="493">
        <f>31630/10</f>
        <v>3163</v>
      </c>
      <c r="M19" s="28">
        <f>34730/10</f>
        <v>3473</v>
      </c>
      <c r="N19" s="142"/>
    </row>
    <row r="20" spans="1:14" s="46" customFormat="1">
      <c r="A20" s="2" t="s">
        <v>980</v>
      </c>
      <c r="B20" s="394"/>
      <c r="C20" s="394"/>
      <c r="D20" s="394"/>
      <c r="E20" s="394"/>
      <c r="F20" s="394"/>
      <c r="G20" s="394"/>
      <c r="H20" s="394"/>
      <c r="I20" s="394"/>
      <c r="J20" s="394"/>
      <c r="K20" s="394"/>
      <c r="L20" s="493">
        <f>36772/10</f>
        <v>3677.2</v>
      </c>
      <c r="M20" s="131"/>
      <c r="N20" s="142"/>
    </row>
    <row r="21" spans="1:14" s="46" customFormat="1">
      <c r="A21" s="2" t="s">
        <v>904</v>
      </c>
      <c r="B21" s="394">
        <f>103650/10</f>
        <v>10365</v>
      </c>
      <c r="C21" s="394">
        <f>125250/10</f>
        <v>12525</v>
      </c>
      <c r="D21" s="394">
        <f>93740/10</f>
        <v>9374</v>
      </c>
      <c r="E21" s="394">
        <f>149180/10</f>
        <v>14918</v>
      </c>
      <c r="F21" s="394">
        <f>165660/10</f>
        <v>16566</v>
      </c>
      <c r="G21" s="394">
        <f>131240/10</f>
        <v>13124</v>
      </c>
      <c r="H21" s="394">
        <f>28920/10</f>
        <v>2892</v>
      </c>
      <c r="I21" s="394">
        <f>3280/10</f>
        <v>328</v>
      </c>
      <c r="J21" s="394">
        <f>770/10</f>
        <v>77</v>
      </c>
      <c r="K21" s="28"/>
      <c r="L21" s="131"/>
      <c r="M21" s="131"/>
      <c r="N21" s="142"/>
    </row>
    <row r="22" spans="1:14" s="46" customFormat="1">
      <c r="A22" s="2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2"/>
    </row>
    <row r="23" spans="1:14" s="46" customFormat="1">
      <c r="A23" s="2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2"/>
    </row>
    <row r="24" spans="1:14" s="46" customFormat="1">
      <c r="A24" s="2"/>
      <c r="B24" s="14"/>
      <c r="C24" s="131"/>
      <c r="D24" s="131"/>
      <c r="E24" s="14"/>
      <c r="F24" s="14"/>
      <c r="G24" s="14"/>
      <c r="H24" s="14"/>
      <c r="I24" s="14"/>
      <c r="J24" s="14"/>
      <c r="K24" s="14"/>
      <c r="L24" s="14"/>
      <c r="M24" s="14"/>
      <c r="N24" s="142"/>
    </row>
    <row r="25" spans="1:14" s="46" customFormat="1">
      <c r="A25" s="2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2"/>
    </row>
    <row r="26" spans="1:14" s="22" customFormat="1">
      <c r="A26" s="3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</row>
    <row r="27" spans="1:14" s="22" customFormat="1">
      <c r="A27" s="3" t="s">
        <v>278</v>
      </c>
      <c r="B27" s="28">
        <f>SUM(B4:B21)</f>
        <v>41207.699999999997</v>
      </c>
      <c r="C27" s="28">
        <f>SUM(C4:C21)</f>
        <v>49269.5</v>
      </c>
      <c r="D27" s="28">
        <f>SUM(D4:D21)</f>
        <v>42827.6</v>
      </c>
      <c r="E27" s="28">
        <f>SUM(E4:E21)</f>
        <v>53890.9</v>
      </c>
      <c r="F27" s="28">
        <f t="shared" ref="F27:K27" si="0">SUM(F4:F21)</f>
        <v>67611.399999999994</v>
      </c>
      <c r="G27" s="28">
        <f t="shared" si="0"/>
        <v>71155.5</v>
      </c>
      <c r="H27" s="28">
        <f t="shared" si="0"/>
        <v>58283.3</v>
      </c>
      <c r="I27" s="28">
        <f t="shared" si="0"/>
        <v>55633.5</v>
      </c>
      <c r="J27" s="28">
        <f t="shared" si="0"/>
        <v>44745.3</v>
      </c>
      <c r="K27" s="28">
        <f t="shared" si="0"/>
        <v>39205.100000000006</v>
      </c>
      <c r="L27" s="28">
        <f>SUM(L3:L21)</f>
        <v>94315.9</v>
      </c>
      <c r="M27" s="28">
        <f>SUM(M3:M21)</f>
        <v>24151.4</v>
      </c>
      <c r="N27" s="28">
        <f>SUM(B27:K27)</f>
        <v>523829.79999999993</v>
      </c>
    </row>
    <row r="28" spans="1:14">
      <c r="A28" s="2" t="s">
        <v>279</v>
      </c>
      <c r="B28" s="28">
        <f t="shared" ref="B28:K28" si="1">B27/B1</f>
        <v>1329.2806451612903</v>
      </c>
      <c r="C28" s="28">
        <f t="shared" si="1"/>
        <v>1589.3387096774193</v>
      </c>
      <c r="D28" s="28">
        <f t="shared" si="1"/>
        <v>1427.5866666666666</v>
      </c>
      <c r="E28" s="28">
        <f t="shared" si="1"/>
        <v>1738.4161290322581</v>
      </c>
      <c r="F28" s="28">
        <f t="shared" si="1"/>
        <v>2253.7133333333331</v>
      </c>
      <c r="G28" s="28">
        <f t="shared" si="1"/>
        <v>2295.3387096774195</v>
      </c>
      <c r="H28" s="28">
        <f t="shared" si="1"/>
        <v>1880.1064516129034</v>
      </c>
      <c r="I28" s="28">
        <f t="shared" si="1"/>
        <v>1986.9107142857142</v>
      </c>
      <c r="J28" s="28">
        <f t="shared" si="1"/>
        <v>1443.3967741935485</v>
      </c>
      <c r="K28" s="28">
        <f t="shared" si="1"/>
        <v>1306.8366666666668</v>
      </c>
      <c r="L28" s="28">
        <f t="shared" ref="L28:M28" si="2">L27/L1</f>
        <v>3042.4483870967738</v>
      </c>
      <c r="M28" s="28">
        <f t="shared" si="2"/>
        <v>805.04666666666674</v>
      </c>
      <c r="N28" s="22">
        <f>N27/SUM(B1:K1)</f>
        <v>1723.1243421052629</v>
      </c>
    </row>
    <row r="30" spans="1:14" s="22" customFormat="1">
      <c r="A30" s="111" t="s">
        <v>745</v>
      </c>
      <c r="B30" s="396">
        <v>77500</v>
      </c>
      <c r="C30" s="396">
        <v>77500</v>
      </c>
      <c r="D30" s="396">
        <v>75000</v>
      </c>
      <c r="E30" s="396">
        <v>77500</v>
      </c>
      <c r="F30" s="396">
        <v>90000</v>
      </c>
      <c r="G30" s="396">
        <v>108500</v>
      </c>
      <c r="H30" s="396">
        <v>108500</v>
      </c>
      <c r="I30" s="396">
        <v>101500</v>
      </c>
      <c r="J30" s="396">
        <v>93000</v>
      </c>
      <c r="K30" s="396">
        <v>75000</v>
      </c>
      <c r="L30" s="28">
        <v>93000</v>
      </c>
      <c r="M30" s="28">
        <v>93000</v>
      </c>
      <c r="N30" s="22">
        <f>SUM(B30:M30)</f>
        <v>1070000</v>
      </c>
    </row>
    <row r="31" spans="1:14">
      <c r="A31" s="4" t="s">
        <v>897</v>
      </c>
      <c r="B31" s="22">
        <f t="shared" ref="B31:D32" si="3">B30*0.95</f>
        <v>73625</v>
      </c>
      <c r="C31" s="22">
        <f t="shared" si="3"/>
        <v>73625</v>
      </c>
      <c r="D31" s="22">
        <f t="shared" si="3"/>
        <v>71250</v>
      </c>
      <c r="E31" s="22">
        <f>E30*0.95</f>
        <v>73625</v>
      </c>
      <c r="F31" s="22">
        <f t="shared" ref="F31:L31" si="4">F30*0.96</f>
        <v>86400</v>
      </c>
      <c r="G31" s="22">
        <f t="shared" si="4"/>
        <v>104160</v>
      </c>
      <c r="H31" s="22">
        <f t="shared" si="4"/>
        <v>104160</v>
      </c>
      <c r="I31" s="22">
        <f t="shared" si="4"/>
        <v>97440</v>
      </c>
      <c r="J31" s="22">
        <f t="shared" si="4"/>
        <v>89280</v>
      </c>
      <c r="K31" s="22">
        <f t="shared" si="4"/>
        <v>72000</v>
      </c>
      <c r="L31" s="22">
        <f t="shared" si="4"/>
        <v>89280</v>
      </c>
      <c r="M31" s="22">
        <f t="shared" ref="M31" si="5">M30*0.96</f>
        <v>89280</v>
      </c>
      <c r="N31" s="22">
        <f t="shared" ref="N31:N34" si="6">SUM(B31:M31)</f>
        <v>1024125</v>
      </c>
    </row>
    <row r="32" spans="1:14">
      <c r="A32" s="4" t="s">
        <v>795</v>
      </c>
      <c r="B32" s="22">
        <f t="shared" si="3"/>
        <v>69943.75</v>
      </c>
      <c r="C32" s="22">
        <f t="shared" si="3"/>
        <v>69943.75</v>
      </c>
      <c r="D32" s="22">
        <f t="shared" si="3"/>
        <v>67687.5</v>
      </c>
      <c r="E32" s="22">
        <f>E31*0.95</f>
        <v>69943.75</v>
      </c>
      <c r="F32" s="22">
        <f t="shared" ref="F32:L32" si="7">F31*0.975</f>
        <v>84240</v>
      </c>
      <c r="G32" s="22">
        <f t="shared" si="7"/>
        <v>101556</v>
      </c>
      <c r="H32" s="22">
        <f t="shared" si="7"/>
        <v>101556</v>
      </c>
      <c r="I32" s="22">
        <f t="shared" si="7"/>
        <v>95004</v>
      </c>
      <c r="J32" s="22">
        <f t="shared" si="7"/>
        <v>87048</v>
      </c>
      <c r="K32" s="22">
        <f t="shared" si="7"/>
        <v>70200</v>
      </c>
      <c r="L32" s="22">
        <f t="shared" si="7"/>
        <v>87048</v>
      </c>
      <c r="M32" s="22">
        <f t="shared" ref="M32" si="8">M31*0.975</f>
        <v>87048</v>
      </c>
      <c r="N32" s="22">
        <f t="shared" si="6"/>
        <v>991218.75</v>
      </c>
    </row>
    <row r="33" spans="1:15">
      <c r="A33" s="4" t="s">
        <v>746</v>
      </c>
      <c r="B33" s="22">
        <f t="shared" ref="B33:J33" si="9">B32/1.04</f>
        <v>67253.605769230766</v>
      </c>
      <c r="C33" s="22">
        <f t="shared" si="9"/>
        <v>67253.605769230766</v>
      </c>
      <c r="D33" s="22">
        <f t="shared" si="9"/>
        <v>65084.13461538461</v>
      </c>
      <c r="E33" s="22">
        <f t="shared" si="9"/>
        <v>67253.605769230766</v>
      </c>
      <c r="F33" s="22">
        <f t="shared" si="9"/>
        <v>81000</v>
      </c>
      <c r="G33" s="22">
        <f t="shared" si="9"/>
        <v>97650</v>
      </c>
      <c r="H33" s="22">
        <f t="shared" si="9"/>
        <v>97650</v>
      </c>
      <c r="I33" s="22">
        <f t="shared" si="9"/>
        <v>91350</v>
      </c>
      <c r="J33" s="22">
        <f t="shared" si="9"/>
        <v>83700</v>
      </c>
      <c r="K33" s="22">
        <f>K32/1.04</f>
        <v>67500</v>
      </c>
      <c r="L33" s="22">
        <f>L32/1.04</f>
        <v>83700</v>
      </c>
      <c r="M33" s="22">
        <f>M32/1.04</f>
        <v>83700</v>
      </c>
      <c r="N33" s="22">
        <f t="shared" si="6"/>
        <v>953094.95192307688</v>
      </c>
    </row>
    <row r="34" spans="1:15" s="108" customFormat="1">
      <c r="A34" s="119" t="s">
        <v>747</v>
      </c>
      <c r="B34" s="108">
        <f>B33-B27</f>
        <v>26045.905769230769</v>
      </c>
      <c r="C34" s="108">
        <f>C33-C27</f>
        <v>17984.105769230766</v>
      </c>
      <c r="D34" s="108">
        <f>D33-D27</f>
        <v>22256.534615384611</v>
      </c>
      <c r="E34" s="108">
        <f>E33-E27</f>
        <v>13362.705769230764</v>
      </c>
      <c r="F34" s="108">
        <f t="shared" ref="F34:L34" si="10">F33-F27</f>
        <v>13388.600000000006</v>
      </c>
      <c r="G34" s="108">
        <f t="shared" si="10"/>
        <v>26494.5</v>
      </c>
      <c r="H34" s="108">
        <f t="shared" si="10"/>
        <v>39366.699999999997</v>
      </c>
      <c r="I34" s="108">
        <f t="shared" si="10"/>
        <v>35716.5</v>
      </c>
      <c r="J34" s="108">
        <f t="shared" si="10"/>
        <v>38954.699999999997</v>
      </c>
      <c r="K34" s="108">
        <f t="shared" si="10"/>
        <v>28294.899999999994</v>
      </c>
      <c r="L34" s="108">
        <f t="shared" si="10"/>
        <v>-10615.899999999994</v>
      </c>
      <c r="M34" s="108">
        <f t="shared" ref="M34" si="11">M33-M27</f>
        <v>59548.6</v>
      </c>
      <c r="N34" s="22">
        <f t="shared" si="6"/>
        <v>310797.8519230769</v>
      </c>
      <c r="O34" s="124">
        <f>N34/N30</f>
        <v>0.2904652821710999</v>
      </c>
    </row>
    <row r="35" spans="1:15">
      <c r="A35" s="4" t="s">
        <v>280</v>
      </c>
      <c r="B35" s="17">
        <v>4.7</v>
      </c>
      <c r="C35" s="17">
        <v>4.7</v>
      </c>
      <c r="D35" s="17">
        <v>4.7</v>
      </c>
      <c r="E35" s="17">
        <v>4.7</v>
      </c>
      <c r="F35" s="17">
        <v>4.7</v>
      </c>
      <c r="G35" s="17">
        <v>4.7</v>
      </c>
      <c r="H35" s="17">
        <v>4.7</v>
      </c>
      <c r="I35" s="17">
        <v>4.7</v>
      </c>
      <c r="J35" s="17">
        <v>4.7</v>
      </c>
      <c r="K35" s="17">
        <v>5.7</v>
      </c>
      <c r="L35" s="17">
        <v>2.97</v>
      </c>
      <c r="M35" s="17">
        <v>2.97</v>
      </c>
    </row>
    <row r="36" spans="1:15">
      <c r="A36" s="4" t="s">
        <v>281</v>
      </c>
      <c r="B36" s="17">
        <f>+'YR REPORTS'!D68</f>
        <v>4.919790575916231</v>
      </c>
      <c r="C36" s="17">
        <f>+'YR REPORTS'!E68</f>
        <v>4.8784642233856905</v>
      </c>
      <c r="D36" s="17">
        <f>+'YR REPORTS'!F68</f>
        <v>4.3613263525305417</v>
      </c>
      <c r="E36" s="17">
        <f>+'YR REPORTS'!G68</f>
        <v>4.2518673647469463</v>
      </c>
      <c r="F36" s="17">
        <f>+'YR REPORTS'!H68</f>
        <v>3.9893891797556722</v>
      </c>
      <c r="G36" s="17">
        <f>+'YR REPORTS'!I68</f>
        <v>3.8106806282722512</v>
      </c>
      <c r="H36" s="17">
        <f>+'YR REPORTS'!J68</f>
        <v>3.4979406631762653</v>
      </c>
      <c r="I36" s="17">
        <f>+'YR REPORTS'!K68</f>
        <v>3.0444677137870855</v>
      </c>
      <c r="J36" s="17">
        <f>+'YR REPORTS'!L68</f>
        <v>2.7853403141361261</v>
      </c>
      <c r="K36" s="17">
        <f>+'YR REPORTS'!M68</f>
        <v>2.5005235602094236</v>
      </c>
      <c r="L36" s="17">
        <f>+'YR REPORTS'!N68</f>
        <v>2.3273996509598605</v>
      </c>
      <c r="M36" s="17">
        <f>+'YR REPORTS'!O68</f>
        <v>2.7663525305410119</v>
      </c>
    </row>
    <row r="37" spans="1:15">
      <c r="A37" s="4" t="s">
        <v>282</v>
      </c>
      <c r="B37" s="29">
        <f>B36-B35</f>
        <v>0.21979057591623086</v>
      </c>
      <c r="C37" s="29">
        <f>C36-C35</f>
        <v>0.17846422338569035</v>
      </c>
      <c r="D37" s="29">
        <f>D36-D35</f>
        <v>-0.33867364746945849</v>
      </c>
      <c r="E37" s="29">
        <f>E36-E35</f>
        <v>-0.44813263525305391</v>
      </c>
      <c r="F37" s="29">
        <f t="shared" ref="F37:L37" si="12">F36-F35</f>
        <v>-0.71061082024432798</v>
      </c>
      <c r="G37" s="29">
        <f t="shared" si="12"/>
        <v>-0.889319371727749</v>
      </c>
      <c r="H37" s="29">
        <f t="shared" si="12"/>
        <v>-1.2020593368237349</v>
      </c>
      <c r="I37" s="29">
        <f t="shared" si="12"/>
        <v>-1.6555322862129147</v>
      </c>
      <c r="J37" s="29">
        <f t="shared" si="12"/>
        <v>-1.914659685863874</v>
      </c>
      <c r="K37" s="29">
        <f t="shared" si="12"/>
        <v>-3.1994764397905766</v>
      </c>
      <c r="L37" s="29">
        <f t="shared" si="12"/>
        <v>-0.64260034904013974</v>
      </c>
      <c r="M37" s="29">
        <f t="shared" ref="M37" si="13">M36-M35</f>
        <v>-0.20364746945898826</v>
      </c>
    </row>
    <row r="38" spans="1:15" s="30" customFormat="1">
      <c r="A38" s="121" t="s">
        <v>283</v>
      </c>
      <c r="B38" s="30">
        <f>B34*B37</f>
        <v>5724.6446292791106</v>
      </c>
      <c r="C38" s="30">
        <f>C34*C37</f>
        <v>3209.519469391882</v>
      </c>
      <c r="D38" s="30">
        <f>D34*D37</f>
        <v>-7537.7017582225681</v>
      </c>
      <c r="E38" s="30">
        <f>E34*E37</f>
        <v>-5988.2645504765696</v>
      </c>
      <c r="F38" s="30">
        <f t="shared" ref="F38:L38" si="14">F34*F37</f>
        <v>-9514.0840279232143</v>
      </c>
      <c r="G38" s="30">
        <f t="shared" si="14"/>
        <v>-23562.072094240844</v>
      </c>
      <c r="H38" s="30">
        <f t="shared" si="14"/>
        <v>-47321.10929493892</v>
      </c>
      <c r="I38" s="30">
        <f t="shared" si="14"/>
        <v>-59129.818900523569</v>
      </c>
      <c r="J38" s="30">
        <f t="shared" si="14"/>
        <v>-74584.993664921451</v>
      </c>
      <c r="K38" s="30">
        <f t="shared" si="14"/>
        <v>-90528.865916230367</v>
      </c>
      <c r="L38" s="30">
        <f t="shared" si="14"/>
        <v>6821.7810453752154</v>
      </c>
      <c r="M38" s="30">
        <f t="shared" ref="M38" si="15">M34*M37</f>
        <v>-12126.921699825509</v>
      </c>
      <c r="N38" s="30">
        <f>SUM(B38:L38)</f>
        <v>-302410.9650634313</v>
      </c>
    </row>
    <row r="39" spans="1:15">
      <c r="A39" s="4" t="s">
        <v>302</v>
      </c>
      <c r="B39" s="30">
        <f>B38</f>
        <v>5724.6446292791106</v>
      </c>
      <c r="C39" s="30">
        <f>C38+B39</f>
        <v>8934.1640986709936</v>
      </c>
      <c r="D39" s="30">
        <f>D38+C39</f>
        <v>1396.4623404484255</v>
      </c>
      <c r="E39" s="30">
        <f>E38+D39</f>
        <v>-4591.8022100281441</v>
      </c>
      <c r="F39" s="30">
        <f t="shared" ref="F39:M39" si="16">F38+E39</f>
        <v>-14105.886237951359</v>
      </c>
      <c r="G39" s="30">
        <f t="shared" si="16"/>
        <v>-37667.958332192204</v>
      </c>
      <c r="H39" s="30">
        <f t="shared" si="16"/>
        <v>-84989.067627131124</v>
      </c>
      <c r="I39" s="30">
        <f t="shared" si="16"/>
        <v>-144118.88652765469</v>
      </c>
      <c r="J39" s="30">
        <f t="shared" si="16"/>
        <v>-218703.88019257615</v>
      </c>
      <c r="K39" s="30">
        <f t="shared" si="16"/>
        <v>-309232.74610880652</v>
      </c>
      <c r="L39" s="30">
        <f t="shared" si="16"/>
        <v>-302410.9650634313</v>
      </c>
      <c r="M39" s="30">
        <f t="shared" si="16"/>
        <v>-314537.8867632568</v>
      </c>
    </row>
    <row r="41" spans="1:15">
      <c r="A41" s="4" t="s">
        <v>801</v>
      </c>
    </row>
    <row r="42" spans="1:15">
      <c r="A42" s="4" t="s">
        <v>802</v>
      </c>
    </row>
    <row r="43" spans="1:15">
      <c r="A43" s="4" t="s">
        <v>803</v>
      </c>
    </row>
    <row r="46" spans="1:15">
      <c r="A46" s="33"/>
    </row>
    <row r="47" spans="1:15">
      <c r="A47" s="33"/>
    </row>
    <row r="48" spans="1:15">
      <c r="A48" s="33"/>
      <c r="E48" s="363"/>
    </row>
    <row r="49" spans="1:5">
      <c r="A49" s="33"/>
      <c r="E49" s="364"/>
    </row>
    <row r="50" spans="1:5">
      <c r="A50" s="33"/>
    </row>
    <row r="51" spans="1:5">
      <c r="A51" s="33"/>
    </row>
    <row r="52" spans="1:5">
      <c r="A52" s="33"/>
    </row>
    <row r="53" spans="1:5">
      <c r="A53" s="33"/>
    </row>
  </sheetData>
  <phoneticPr fontId="0" type="noConversion"/>
  <pageMargins left="0.75" right="0.75" top="1" bottom="1" header="0.5" footer="0.5"/>
  <pageSetup orientation="landscape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P85"/>
  <sheetViews>
    <sheetView showGridLines="0" zoomScale="50" workbookViewId="0">
      <pane xSplit="1" ySplit="10" topLeftCell="B11" activePane="bottomRight" state="frozen"/>
      <selection activeCell="I74" sqref="I74"/>
      <selection pane="topRight" activeCell="I74" sqref="I74"/>
      <selection pane="bottomLeft" activeCell="I74" sqref="I74"/>
      <selection pane="bottomRight" activeCell="I11" sqref="I11"/>
    </sheetView>
  </sheetViews>
  <sheetFormatPr defaultRowHeight="20.25"/>
  <cols>
    <col min="1" max="1" width="36.21875" style="4" customWidth="1"/>
    <col min="2" max="2" width="13.33203125" style="4" customWidth="1"/>
    <col min="3" max="4" width="6.33203125" style="10" customWidth="1"/>
    <col min="5" max="8" width="11.77734375" style="10" customWidth="1"/>
    <col min="9" max="9" width="17.88671875" style="10" bestFit="1" customWidth="1"/>
    <col min="10" max="11" width="11.77734375" style="10" customWidth="1"/>
    <col min="12" max="13" width="11.77734375" style="1" customWidth="1"/>
    <col min="14" max="16" width="10.77734375" style="1" customWidth="1"/>
    <col min="17" max="16384" width="8.88671875" style="1"/>
  </cols>
  <sheetData>
    <row r="1" spans="1:16">
      <c r="A1" s="2" t="s">
        <v>157</v>
      </c>
      <c r="B1" s="2"/>
      <c r="C1" s="11"/>
      <c r="D1" s="11"/>
    </row>
    <row r="2" spans="1:16">
      <c r="A2" s="111">
        <v>1000000</v>
      </c>
      <c r="B2" s="111"/>
      <c r="C2" s="22"/>
      <c r="D2" s="22"/>
    </row>
    <row r="3" spans="1:16">
      <c r="A3" s="2" t="str">
        <f ca="1">CELL("FILENAME",A1)</f>
        <v>H:\Gaspurch\GasCosts\Annual\FY1214\[1214pgcFYendrevised27Aug12.xlsx]YR SUMMARIES</v>
      </c>
      <c r="B3" s="2"/>
      <c r="C3" s="11"/>
      <c r="D3" s="11"/>
    </row>
    <row r="4" spans="1:16">
      <c r="A4" s="2" t="s">
        <v>112</v>
      </c>
      <c r="B4" s="2"/>
      <c r="C4" s="11"/>
      <c r="D4" s="11"/>
    </row>
    <row r="5" spans="1:16">
      <c r="A5" s="2" t="s">
        <v>113</v>
      </c>
      <c r="B5" s="2"/>
      <c r="C5" s="11"/>
      <c r="D5" s="11"/>
      <c r="E5" s="124"/>
    </row>
    <row r="6" spans="1:16">
      <c r="A6" s="2" t="s">
        <v>159</v>
      </c>
      <c r="B6" s="2"/>
      <c r="C6" s="11"/>
      <c r="D6" s="11"/>
    </row>
    <row r="7" spans="1:16">
      <c r="A7" s="167" t="s">
        <v>163</v>
      </c>
      <c r="B7" s="319">
        <f ca="1">NOW()-1</f>
        <v>41148.356660879632</v>
      </c>
    </row>
    <row r="8" spans="1:16">
      <c r="E8" s="402"/>
      <c r="F8" s="403"/>
      <c r="G8" s="404"/>
      <c r="H8" s="405"/>
      <c r="I8" s="402"/>
      <c r="J8" s="406"/>
      <c r="K8" s="404"/>
      <c r="M8" s="166"/>
    </row>
    <row r="9" spans="1:16">
      <c r="C9" s="176"/>
      <c r="D9" s="176"/>
      <c r="E9" s="12" t="s">
        <v>858</v>
      </c>
      <c r="F9" s="12" t="s">
        <v>858</v>
      </c>
      <c r="G9" s="12" t="s">
        <v>858</v>
      </c>
      <c r="I9" s="12" t="s">
        <v>879</v>
      </c>
      <c r="J9" s="12" t="s">
        <v>879</v>
      </c>
      <c r="K9" s="12" t="s">
        <v>879</v>
      </c>
      <c r="L9" s="10"/>
      <c r="M9" s="12" t="s">
        <v>910</v>
      </c>
      <c r="N9" s="12" t="s">
        <v>910</v>
      </c>
      <c r="O9" s="12" t="s">
        <v>910</v>
      </c>
    </row>
    <row r="10" spans="1:16">
      <c r="E10" s="11" t="s">
        <v>151</v>
      </c>
      <c r="F10" s="11" t="s">
        <v>152</v>
      </c>
      <c r="G10" s="11" t="s">
        <v>153</v>
      </c>
      <c r="H10" s="11" t="s">
        <v>859</v>
      </c>
      <c r="I10" s="11" t="s">
        <v>151</v>
      </c>
      <c r="J10" s="11" t="s">
        <v>152</v>
      </c>
      <c r="K10" s="11" t="s">
        <v>153</v>
      </c>
      <c r="L10" s="11" t="s">
        <v>885</v>
      </c>
      <c r="M10" s="11" t="s">
        <v>151</v>
      </c>
      <c r="N10" s="11" t="s">
        <v>152</v>
      </c>
      <c r="O10" s="11" t="s">
        <v>153</v>
      </c>
      <c r="P10" s="11" t="s">
        <v>911</v>
      </c>
    </row>
    <row r="11" spans="1:16">
      <c r="A11" s="4" t="s">
        <v>154</v>
      </c>
      <c r="E11" s="178">
        <f>+'YR REPORTS'!P25/'YR SUMMARIES'!$A$2</f>
        <v>69.454091107059867</v>
      </c>
      <c r="F11" s="148">
        <f>+'YR REPORTS'!P14/'YR SUMMARIES'!$A$2</f>
        <v>12.757644300000001</v>
      </c>
      <c r="G11" s="16">
        <f>E11/F11</f>
        <v>5.4441156591158339</v>
      </c>
      <c r="I11" s="178">
        <f>'YR REPORTS'!AG25/'YR SUMMARIES'!A2</f>
        <v>78.040609536901812</v>
      </c>
      <c r="J11" s="148">
        <f>+'YR REPORTS'!AG14/'YR SUMMARIES'!A2</f>
        <v>14.361307999999999</v>
      </c>
      <c r="K11" s="16">
        <f>I11/J11</f>
        <v>5.4340878655970482</v>
      </c>
      <c r="L11" s="10"/>
      <c r="M11" s="178">
        <f>'YR REPORTS'!AW25/'YR SUMMARIES'!A2</f>
        <v>84.928848060829338</v>
      </c>
      <c r="N11" s="148">
        <f>+'YR REPORTS'!AW14/'YR SUMMARIES'!A2</f>
        <v>14.640412099999999</v>
      </c>
      <c r="O11" s="16">
        <f>M11/N11</f>
        <v>5.8009875323679818</v>
      </c>
      <c r="P11" s="10"/>
    </row>
    <row r="12" spans="1:16" s="33" customFormat="1">
      <c r="A12" s="4" t="s">
        <v>155</v>
      </c>
      <c r="B12" s="2"/>
      <c r="C12" s="11"/>
      <c r="D12" s="11"/>
      <c r="E12" s="178">
        <f>SUM('YR REPORTS'!P35,'YR REPORTS'!P37,'YR REPORTS'!P60)/$A$2</f>
        <v>54.767862527091268</v>
      </c>
      <c r="F12" s="148">
        <f>+'YR REPORTS'!P12/'YR SUMMARIES'!$A$2</f>
        <v>9.3091727000000013</v>
      </c>
      <c r="G12" s="17">
        <f>E12/F12</f>
        <v>5.883214791695857</v>
      </c>
      <c r="H12" s="124">
        <f>(G12-'[2]YR SUMMARIES'!$I$12)/'[2]YR SUMMARIES'!$I$12</f>
        <v>-7.6345826373496101E-2</v>
      </c>
      <c r="I12" s="166">
        <f>SUM('YR REPORTS'!AG35,'YR REPORTS'!AG37,'YR REPORTS'!AG60)/A2</f>
        <v>62.08371456447599</v>
      </c>
      <c r="J12" s="148">
        <f>+'YR REPORTS'!AG12/'YR SUMMARIES'!A2</f>
        <v>10.648628</v>
      </c>
      <c r="K12" s="16">
        <f>I12/J12</f>
        <v>5.8302078506710897</v>
      </c>
      <c r="L12" s="124">
        <f>(K12-G12)/G12</f>
        <v>-9.0098598982968452E-3</v>
      </c>
      <c r="M12" s="166">
        <f>SUM('YR REPORTS'!AW35,'YR REPORTS'!AW37,'YR REPORTS'!AW60)/A2</f>
        <v>66.313287069555344</v>
      </c>
      <c r="N12" s="148">
        <f>+'YR REPORTS'!AW12/'YR SUMMARIES'!A2</f>
        <v>10.7994121</v>
      </c>
      <c r="O12" s="16">
        <f>M12/N12</f>
        <v>6.1404534298265503</v>
      </c>
      <c r="P12" s="124">
        <f>(O12-K12)/K12</f>
        <v>5.3213468044668352E-2</v>
      </c>
    </row>
    <row r="13" spans="1:16">
      <c r="A13" s="4" t="s">
        <v>156</v>
      </c>
      <c r="E13" s="178">
        <f>+'YR REPORTS'!P72/'YR SUMMARIES'!$A$2</f>
        <v>14.686228579968587</v>
      </c>
      <c r="F13" s="148">
        <f>+'YR REPORTS'!P13/'YR SUMMARIES'!$A$2</f>
        <v>3.4484716</v>
      </c>
      <c r="G13" s="17">
        <f>E13/F13</f>
        <v>4.258764543680333</v>
      </c>
      <c r="I13" s="178">
        <f>+'YR REPORTS'!AG72/'YR SUMMARIES'!A2</f>
        <v>15.956894972425829</v>
      </c>
      <c r="J13" s="148">
        <f>+'YR REPORTS'!AG67/'YR SUMMARIES'!A2</f>
        <v>3.7126800000000002</v>
      </c>
      <c r="K13" s="16">
        <f>I13/J13</f>
        <v>4.2979451427071087</v>
      </c>
      <c r="L13" s="10"/>
      <c r="M13" s="178">
        <f>+'YR REPORTS'!AW72/'YR SUMMARIES'!A2</f>
        <v>18.615560991273998</v>
      </c>
      <c r="N13" s="148">
        <f>+'YR REPORTS'!AW67/'YR SUMMARIES'!A2</f>
        <v>3.8410000000000002</v>
      </c>
      <c r="O13" s="16">
        <f>M13/N13</f>
        <v>4.8465402216282207</v>
      </c>
      <c r="P13" s="10"/>
    </row>
    <row r="14" spans="1:16">
      <c r="L14" s="10"/>
    </row>
    <row r="15" spans="1:16">
      <c r="E15" s="12" t="s">
        <v>858</v>
      </c>
      <c r="F15" s="12" t="s">
        <v>858</v>
      </c>
      <c r="G15" s="12" t="s">
        <v>858</v>
      </c>
      <c r="H15" s="1"/>
      <c r="I15" s="12" t="s">
        <v>879</v>
      </c>
      <c r="J15" s="12" t="s">
        <v>879</v>
      </c>
      <c r="K15" s="12" t="s">
        <v>879</v>
      </c>
      <c r="L15" s="10"/>
    </row>
    <row r="16" spans="1:16">
      <c r="E16" s="11" t="s">
        <v>151</v>
      </c>
      <c r="F16" s="11" t="s">
        <v>152</v>
      </c>
      <c r="G16" s="11" t="s">
        <v>153</v>
      </c>
      <c r="H16" s="1"/>
      <c r="I16" s="11" t="s">
        <v>151</v>
      </c>
      <c r="J16" s="11" t="s">
        <v>152</v>
      </c>
      <c r="K16" s="11" t="s">
        <v>153</v>
      </c>
      <c r="L16" s="10"/>
    </row>
    <row r="17" spans="1:15">
      <c r="A17" s="4" t="s">
        <v>165</v>
      </c>
      <c r="E17" s="178">
        <f>SUM(E18:E19)</f>
        <v>-3.182439</v>
      </c>
      <c r="F17" s="148">
        <f>SUM(F18:F19)</f>
        <v>4.1409609374999992</v>
      </c>
      <c r="G17" s="29">
        <f>E17/F17</f>
        <v>-0.7685266893440722</v>
      </c>
      <c r="H17" s="1"/>
      <c r="I17" s="178">
        <f>SUM(I18:I19)</f>
        <v>-0.24420999999999965</v>
      </c>
      <c r="J17" s="148">
        <f>SUM(J18:J19)</f>
        <v>1.7589843749999998</v>
      </c>
      <c r="K17" s="29">
        <f>I17/J17</f>
        <v>-0.13883579835665094</v>
      </c>
      <c r="L17" s="10"/>
    </row>
    <row r="18" spans="1:15">
      <c r="A18" s="4" t="s">
        <v>166</v>
      </c>
      <c r="B18" s="2"/>
      <c r="C18" s="11"/>
      <c r="D18" s="11"/>
      <c r="E18" s="178">
        <f>+'HEDGE REPORT'!J8/'YR SUMMARIES'!A2</f>
        <v>-1.8767800000000003</v>
      </c>
      <c r="F18" s="272">
        <f>+('HEDGE REPORT'!E8/A2/1.04*(1-0.05))*(1-0.025)</f>
        <v>3.1906640624999998</v>
      </c>
      <c r="G18" s="228">
        <f>E18/F18</f>
        <v>-0.58820984072183269</v>
      </c>
      <c r="H18" s="1"/>
      <c r="I18" s="178">
        <f>+'HEDGE REPORT'!J27/'YR SUMMARIES'!A2</f>
        <v>-0.24420999999999965</v>
      </c>
      <c r="J18" s="272">
        <f>+('HEDGE REPORT'!E27/A2/1.04*(1-0.05))*(1-0.025)</f>
        <v>1.7589843749999998</v>
      </c>
      <c r="K18" s="228">
        <f>I18/J18</f>
        <v>-0.13883579835665094</v>
      </c>
      <c r="L18" s="10"/>
    </row>
    <row r="19" spans="1:15">
      <c r="A19" s="4" t="s">
        <v>458</v>
      </c>
      <c r="B19" s="2"/>
      <c r="C19" s="11"/>
      <c r="D19" s="11"/>
      <c r="E19" s="271">
        <f>'HEDGE REPORT'!J20/'YR SUMMARIES'!A2</f>
        <v>-1.3056589999999997</v>
      </c>
      <c r="F19" s="272">
        <f>+('HEDGE REPORT'!E20/A2/1.04*(1-0.05))*(1-0.025)</f>
        <v>0.95029687499999982</v>
      </c>
      <c r="G19" s="228">
        <f>E19/F19</f>
        <v>-1.3739485358193986</v>
      </c>
      <c r="H19" s="1"/>
      <c r="I19" s="271"/>
      <c r="J19" s="272"/>
      <c r="K19" s="228"/>
      <c r="L19" s="10"/>
    </row>
    <row r="20" spans="1:15">
      <c r="A20" s="2"/>
      <c r="B20" s="2"/>
      <c r="C20" s="11"/>
      <c r="D20" s="11"/>
      <c r="E20" s="271"/>
      <c r="F20" s="272"/>
      <c r="G20" s="228"/>
      <c r="H20" s="1"/>
      <c r="L20" s="10"/>
    </row>
    <row r="21" spans="1:15">
      <c r="A21" s="2"/>
      <c r="B21" s="2"/>
      <c r="C21" s="11"/>
      <c r="D21" s="11"/>
      <c r="E21" s="12" t="s">
        <v>858</v>
      </c>
      <c r="F21" s="12" t="s">
        <v>858</v>
      </c>
      <c r="G21" s="12" t="s">
        <v>858</v>
      </c>
      <c r="H21" s="1"/>
      <c r="I21" s="12" t="s">
        <v>879</v>
      </c>
      <c r="J21" s="12" t="s">
        <v>879</v>
      </c>
      <c r="K21" s="12" t="s">
        <v>879</v>
      </c>
      <c r="L21" s="10"/>
    </row>
    <row r="22" spans="1:15">
      <c r="E22" s="11" t="s">
        <v>151</v>
      </c>
      <c r="F22" s="11" t="s">
        <v>152</v>
      </c>
      <c r="G22" s="11" t="s">
        <v>153</v>
      </c>
      <c r="H22" s="1"/>
      <c r="I22" s="11" t="s">
        <v>151</v>
      </c>
      <c r="J22" s="11" t="s">
        <v>152</v>
      </c>
      <c r="K22" s="11" t="s">
        <v>153</v>
      </c>
      <c r="L22" s="10"/>
    </row>
    <row r="23" spans="1:15">
      <c r="A23" s="4" t="s">
        <v>318</v>
      </c>
      <c r="E23" s="271">
        <f>+'HEDGE REPORT'!J12/A2</f>
        <v>-4.6346202910724115</v>
      </c>
      <c r="F23" s="272">
        <f>+'HEDGE REPORT'!E12/A2*(1-0.025)/1.04</f>
        <v>2.90625</v>
      </c>
      <c r="G23" s="228">
        <f>E23/F23</f>
        <v>-1.5947080571431953</v>
      </c>
      <c r="H23" s="1"/>
      <c r="I23" s="271">
        <f>+'HEDGE REPORT'!J31/A2</f>
        <v>0.76976865310158415</v>
      </c>
      <c r="J23" s="272">
        <f>+'HEDGE REPORT'!E31/A2*(1-0.025)/1.04</f>
        <v>2.90625</v>
      </c>
      <c r="K23" s="228">
        <f>I23/J23</f>
        <v>0.26486663332527627</v>
      </c>
    </row>
    <row r="24" spans="1:15">
      <c r="A24" s="4" t="s">
        <v>323</v>
      </c>
      <c r="E24" s="178">
        <f>SUM(E18,E23)</f>
        <v>-6.5114002910724116</v>
      </c>
      <c r="F24" s="148">
        <f>SUM(F18,F23)</f>
        <v>6.0969140624999998</v>
      </c>
      <c r="G24" s="29">
        <f>E24/F24</f>
        <v>-1.0679829540524071</v>
      </c>
      <c r="H24" s="1"/>
      <c r="I24" s="178">
        <f>SUM(I18,I23)</f>
        <v>0.52555865310158456</v>
      </c>
      <c r="J24" s="148">
        <f>SUM(J18,J23)</f>
        <v>4.6652343749999998</v>
      </c>
      <c r="K24" s="29">
        <f>I24/J24</f>
        <v>0.11265428719250244</v>
      </c>
    </row>
    <row r="25" spans="1:15">
      <c r="A25" s="4" t="s">
        <v>319</v>
      </c>
      <c r="E25" s="166">
        <f>SUM(E12,E24)</f>
        <v>48.256462236018855</v>
      </c>
      <c r="F25" s="148">
        <f>F12</f>
        <v>9.3091727000000013</v>
      </c>
      <c r="G25" s="29">
        <f>E25/F25</f>
        <v>5.1837541091077677</v>
      </c>
      <c r="H25" s="124">
        <f>(G25-G12)/G12</f>
        <v>-0.11889089678918002</v>
      </c>
      <c r="I25" s="166">
        <f>SUM(I12,I24)</f>
        <v>62.609273217577574</v>
      </c>
      <c r="J25" s="148">
        <f>J12</f>
        <v>10.648628</v>
      </c>
      <c r="K25" s="29">
        <f>I25/J25</f>
        <v>5.8795624391778523</v>
      </c>
      <c r="L25" s="124">
        <f>(K25-K12)/K12</f>
        <v>8.4653222956848038E-3</v>
      </c>
    </row>
    <row r="26" spans="1:15">
      <c r="H26" s="1"/>
      <c r="L26" s="10"/>
    </row>
    <row r="27" spans="1:15">
      <c r="A27" s="2" t="s">
        <v>273</v>
      </c>
      <c r="B27" s="2"/>
      <c r="C27" s="11"/>
      <c r="D27" s="11"/>
      <c r="G27" s="34">
        <f>+'YR REPORTS'!P77</f>
        <v>5.919945423770602</v>
      </c>
      <c r="H27" s="1"/>
      <c r="K27" s="34">
        <f>+'YR REPORTS'!AG77</f>
        <v>5</v>
      </c>
      <c r="L27" s="10"/>
      <c r="O27" s="115">
        <f>+'YR REPORTS'!AW77</f>
        <v>5</v>
      </c>
    </row>
    <row r="28" spans="1:15">
      <c r="A28" s="2" t="s">
        <v>272</v>
      </c>
      <c r="B28" s="2"/>
      <c r="C28" s="177">
        <f>+'YR REPORTS'!B91/'YR SUMMARIES'!A2</f>
        <v>8.3582289481306749</v>
      </c>
      <c r="D28" s="177"/>
      <c r="E28" s="177">
        <f>+'YR REPORTS'!O91/'YR SUMMARIES'!A2</f>
        <v>7.6615928110393989</v>
      </c>
      <c r="H28" s="1"/>
      <c r="I28" s="177">
        <f>+'YR REPORTS'!AF91/'YR SUMMARIES'!A2</f>
        <v>-2.1503628334365912</v>
      </c>
      <c r="L28" s="10"/>
      <c r="M28" s="300">
        <f>+'YR REPORTS'!AV91/A2</f>
        <v>-15.437970482991929</v>
      </c>
    </row>
    <row r="29" spans="1:15">
      <c r="A29" s="2" t="s">
        <v>290</v>
      </c>
      <c r="B29" s="2"/>
      <c r="C29" s="11"/>
      <c r="D29" s="11"/>
      <c r="E29" s="177">
        <f>E28-C28</f>
        <v>-0.69663613709127592</v>
      </c>
      <c r="H29" s="1"/>
      <c r="I29" s="177">
        <f>I28-E28</f>
        <v>-9.8119556444759901</v>
      </c>
      <c r="L29" s="10"/>
      <c r="M29" s="300">
        <f>M28-I28</f>
        <v>-13.287607649555337</v>
      </c>
    </row>
    <row r="31" spans="1:15">
      <c r="E31" s="166"/>
      <c r="H31" s="166"/>
      <c r="I31" s="166"/>
      <c r="M31" s="391"/>
    </row>
    <row r="32" spans="1:15">
      <c r="E32" s="178"/>
      <c r="H32" s="166"/>
    </row>
    <row r="33" spans="1:12">
      <c r="E33" s="179"/>
      <c r="H33" s="166"/>
    </row>
    <row r="34" spans="1:12">
      <c r="E34" s="166"/>
      <c r="H34" s="166"/>
    </row>
    <row r="35" spans="1:12">
      <c r="E35" s="166"/>
    </row>
    <row r="36" spans="1:12">
      <c r="A36" s="2" t="s">
        <v>777</v>
      </c>
      <c r="B36" s="2"/>
      <c r="E36" s="11" t="s">
        <v>744</v>
      </c>
      <c r="F36" s="11" t="s">
        <v>742</v>
      </c>
      <c r="G36" s="11" t="s">
        <v>743</v>
      </c>
      <c r="H36" s="168" t="s">
        <v>808</v>
      </c>
      <c r="I36" s="168" t="s">
        <v>811</v>
      </c>
    </row>
    <row r="37" spans="1:12">
      <c r="A37" s="4" t="s">
        <v>816</v>
      </c>
      <c r="C37" s="166"/>
      <c r="D37" s="166"/>
      <c r="E37" s="166">
        <f>F37*G37</f>
        <v>1.901842105263158</v>
      </c>
      <c r="F37" s="312">
        <f>9.9*365/1000/0.95</f>
        <v>3.803684210526316</v>
      </c>
      <c r="G37" s="16">
        <v>0.5</v>
      </c>
      <c r="H37" s="175">
        <f>E37/$E$11</f>
        <v>2.738272252863503E-2</v>
      </c>
      <c r="I37" s="124">
        <f>F37/(MCFS!$P$17/1000000)</f>
        <v>0.23406593869140022</v>
      </c>
      <c r="J37" s="124"/>
      <c r="K37" s="6" t="s">
        <v>886</v>
      </c>
    </row>
    <row r="38" spans="1:12" ht="23.25" customHeight="1">
      <c r="A38" s="4" t="s">
        <v>876</v>
      </c>
      <c r="E38" s="166">
        <f>F38*G38</f>
        <v>1.0315789473684212</v>
      </c>
      <c r="F38" s="312">
        <f>(10*(30+31)+15*(31+31+28))/1000/0.95</f>
        <v>2.0631578947368423</v>
      </c>
      <c r="G38" s="16">
        <v>0.5</v>
      </c>
      <c r="H38" s="175">
        <f>E38/$E$11</f>
        <v>1.4852673628372674E-2</v>
      </c>
      <c r="I38" s="279">
        <f>F38/(MCFS!$P$17/1000000)</f>
        <v>0.12695980070157586</v>
      </c>
      <c r="J38" s="134">
        <f>I38+I39</f>
        <v>0.25003307689187898</v>
      </c>
      <c r="K38" s="191" t="s">
        <v>807</v>
      </c>
      <c r="L38" s="322"/>
    </row>
    <row r="39" spans="1:12">
      <c r="A39" s="4" t="s">
        <v>877</v>
      </c>
      <c r="E39" s="166">
        <f>F39*G39</f>
        <v>1</v>
      </c>
      <c r="F39" s="312">
        <f>2</f>
        <v>2</v>
      </c>
      <c r="G39" s="16">
        <v>0.5</v>
      </c>
      <c r="H39" s="175">
        <f>E39/$E$11</f>
        <v>1.4397999945871468E-2</v>
      </c>
      <c r="I39" s="279">
        <f>F39/(MCFS!$P$17/1000000)</f>
        <v>0.12307327619030313</v>
      </c>
      <c r="J39" s="24"/>
    </row>
    <row r="40" spans="1:12">
      <c r="A40" s="4" t="s">
        <v>154</v>
      </c>
      <c r="E40" s="166">
        <f>SUM(E37:E39)</f>
        <v>3.9334210526315792</v>
      </c>
      <c r="F40" s="148">
        <f>SUM(F37:F39)</f>
        <v>7.8668421052631583</v>
      </c>
      <c r="G40" s="16"/>
      <c r="H40" s="175">
        <f>SUM(H37:H39)</f>
        <v>5.6633396102879173E-2</v>
      </c>
      <c r="I40" s="124">
        <f>SUM(I37:I39)</f>
        <v>0.48409901558327922</v>
      </c>
      <c r="J40" s="320" t="s">
        <v>806</v>
      </c>
      <c r="K40" s="321"/>
    </row>
    <row r="41" spans="1:12">
      <c r="E41" s="166"/>
      <c r="F41" s="148"/>
      <c r="G41" s="16"/>
      <c r="H41" s="175"/>
      <c r="I41" s="124"/>
    </row>
    <row r="42" spans="1:12">
      <c r="E42" s="166"/>
      <c r="F42" s="148"/>
      <c r="G42" s="16"/>
      <c r="H42" s="171" t="s">
        <v>809</v>
      </c>
      <c r="I42" s="168" t="s">
        <v>810</v>
      </c>
    </row>
    <row r="43" spans="1:12">
      <c r="A43" s="4" t="s">
        <v>816</v>
      </c>
      <c r="E43" s="166">
        <f t="shared" ref="E43:F45" si="0">E37</f>
        <v>1.901842105263158</v>
      </c>
      <c r="F43" s="148">
        <f t="shared" si="0"/>
        <v>3.803684210526316</v>
      </c>
      <c r="G43" s="16"/>
      <c r="H43" s="175">
        <f>E43/E12</f>
        <v>3.4725512691359824E-2</v>
      </c>
      <c r="I43" s="124">
        <f>F43/(MCFS!$P$13/1000000)</f>
        <v>0.31241973427304992</v>
      </c>
      <c r="J43" s="124"/>
    </row>
    <row r="44" spans="1:12">
      <c r="A44" s="4" t="s">
        <v>876</v>
      </c>
      <c r="E44" s="166">
        <f t="shared" si="0"/>
        <v>1.0315789473684212</v>
      </c>
      <c r="F44" s="148">
        <f t="shared" si="0"/>
        <v>2.0631578947368423</v>
      </c>
      <c r="G44" s="16"/>
      <c r="H44" s="175">
        <f>E44/E12</f>
        <v>1.8835479417480355E-2</v>
      </c>
      <c r="I44" s="124">
        <f>F44/(MCFS!$P$13/1000000)</f>
        <v>0.16945971472953586</v>
      </c>
      <c r="J44" s="124"/>
    </row>
    <row r="45" spans="1:12">
      <c r="A45" s="4" t="s">
        <v>877</v>
      </c>
      <c r="E45" s="166">
        <f t="shared" si="0"/>
        <v>1</v>
      </c>
      <c r="F45" s="148">
        <f t="shared" si="0"/>
        <v>2</v>
      </c>
      <c r="G45" s="16"/>
      <c r="H45" s="175">
        <f>E45/E12</f>
        <v>1.8258883108781973E-2</v>
      </c>
      <c r="I45" s="124">
        <f>F45/(MCFS!$P$13/1000000)</f>
        <v>0.16427217244189701</v>
      </c>
    </row>
    <row r="46" spans="1:12">
      <c r="A46" s="4" t="s">
        <v>154</v>
      </c>
      <c r="E46" s="166">
        <f>SUM(E43:E45)</f>
        <v>3.9334210526315792</v>
      </c>
      <c r="F46" s="148">
        <f>SUM(F43:F45)</f>
        <v>7.8668421052631583</v>
      </c>
      <c r="G46" s="16"/>
      <c r="H46" s="175">
        <f>SUM(H43:H45)</f>
        <v>7.1819875217622148E-2</v>
      </c>
      <c r="I46" s="124">
        <f>SUM(I43:I45)</f>
        <v>0.64615162144448279</v>
      </c>
    </row>
    <row r="47" spans="1:12">
      <c r="E47" s="166"/>
      <c r="F47" s="148"/>
      <c r="G47" s="16"/>
      <c r="H47" s="175"/>
      <c r="I47" s="124"/>
    </row>
    <row r="48" spans="1:12">
      <c r="A48" s="2" t="s">
        <v>814</v>
      </c>
      <c r="B48" s="2"/>
      <c r="E48" s="166"/>
      <c r="F48" s="11" t="s">
        <v>742</v>
      </c>
      <c r="G48" s="16"/>
      <c r="H48" s="175"/>
      <c r="I48" s="168" t="s">
        <v>811</v>
      </c>
    </row>
    <row r="49" spans="1:9">
      <c r="A49" s="4" t="s">
        <v>815</v>
      </c>
      <c r="E49" s="166"/>
      <c r="F49" s="312">
        <f>13.5*365/1000/0.95</f>
        <v>5.1868421052631586</v>
      </c>
      <c r="G49" s="16"/>
      <c r="H49" s="175"/>
      <c r="I49" s="124">
        <f>F49/(MCFS!$P$17/1000000)</f>
        <v>0.31918082548827303</v>
      </c>
    </row>
    <row r="50" spans="1:9">
      <c r="A50" s="4" t="s">
        <v>817</v>
      </c>
      <c r="E50" s="166"/>
      <c r="F50" s="312">
        <f>(5*(30+31)+7.5*(31+31+28))/1000/0.97</f>
        <v>1.0103092783505154</v>
      </c>
      <c r="G50" s="16"/>
      <c r="H50" s="175"/>
      <c r="I50" s="124">
        <f>F50/(MCFS!$P$17/1000000)</f>
        <v>6.2171036426029412E-2</v>
      </c>
    </row>
    <row r="51" spans="1:9">
      <c r="A51" s="4" t="s">
        <v>818</v>
      </c>
      <c r="E51" s="166"/>
      <c r="F51" s="312">
        <f>1.1</f>
        <v>1.1000000000000001</v>
      </c>
      <c r="G51" s="16"/>
      <c r="H51" s="175"/>
      <c r="I51" s="124">
        <f>F51/(MCFS!$P$17/1000000)</f>
        <v>6.7690301904666725E-2</v>
      </c>
    </row>
    <row r="52" spans="1:9">
      <c r="A52" s="4" t="s">
        <v>154</v>
      </c>
      <c r="E52" s="166"/>
      <c r="F52" s="148">
        <f>SUM(F49:F51)</f>
        <v>7.2971513836136737</v>
      </c>
      <c r="G52" s="16"/>
      <c r="H52" s="175"/>
      <c r="I52" s="124"/>
    </row>
    <row r="53" spans="1:9">
      <c r="E53" s="166"/>
      <c r="F53" s="148"/>
      <c r="G53" s="16"/>
      <c r="H53" s="175"/>
      <c r="I53" s="124"/>
    </row>
    <row r="54" spans="1:9">
      <c r="A54" s="2"/>
      <c r="B54" s="2"/>
      <c r="E54" s="166"/>
      <c r="F54" s="11" t="s">
        <v>742</v>
      </c>
      <c r="G54" s="16"/>
      <c r="H54" s="175"/>
      <c r="I54" s="168" t="s">
        <v>811</v>
      </c>
    </row>
    <row r="55" spans="1:9">
      <c r="A55" s="2" t="s">
        <v>819</v>
      </c>
      <c r="B55" s="2"/>
      <c r="E55" s="166"/>
      <c r="F55" s="148">
        <f>SUM(F40,F52)</f>
        <v>15.163993488876832</v>
      </c>
      <c r="G55" s="16"/>
      <c r="H55" s="175"/>
      <c r="I55" s="124">
        <f>F55/(MCFS!$P$17/1000000)</f>
        <v>0.93314117940224839</v>
      </c>
    </row>
    <row r="56" spans="1:9">
      <c r="E56" s="166"/>
      <c r="F56" s="148"/>
      <c r="G56" s="16"/>
      <c r="H56" s="175"/>
      <c r="I56" s="124"/>
    </row>
    <row r="57" spans="1:9">
      <c r="A57" s="2" t="s">
        <v>820</v>
      </c>
      <c r="B57" s="2"/>
      <c r="E57" s="166"/>
      <c r="F57" s="312">
        <f>15.9-F55</f>
        <v>0.73600651112316839</v>
      </c>
      <c r="G57" s="16"/>
      <c r="H57" s="175"/>
      <c r="I57" s="124">
        <f>F57/(MCFS!$P$17/1000000)</f>
        <v>4.5291366310661559E-2</v>
      </c>
    </row>
    <row r="58" spans="1:9">
      <c r="A58" s="113" t="s">
        <v>823</v>
      </c>
      <c r="B58" s="113"/>
      <c r="C58" s="124">
        <v>0.5</v>
      </c>
      <c r="D58" s="124"/>
      <c r="E58" s="166"/>
      <c r="F58" s="148">
        <f>C58*F57</f>
        <v>0.3680032555615842</v>
      </c>
      <c r="G58" s="16"/>
      <c r="H58" s="175"/>
      <c r="I58" s="124">
        <f>F58/(MCFS!$P$17/1000000)</f>
        <v>2.2645683155330779E-2</v>
      </c>
    </row>
    <row r="59" spans="1:9">
      <c r="A59" s="113" t="s">
        <v>187</v>
      </c>
      <c r="B59" s="113"/>
      <c r="C59" s="124">
        <v>0.5</v>
      </c>
      <c r="D59" s="124"/>
      <c r="E59" s="166"/>
      <c r="F59" s="148">
        <f>C59*F57</f>
        <v>0.3680032555615842</v>
      </c>
      <c r="G59" s="16"/>
      <c r="H59" s="175"/>
      <c r="I59" s="124">
        <f>F59/(MCFS!$P$17/1000000)</f>
        <v>2.2645683155330779E-2</v>
      </c>
    </row>
    <row r="60" spans="1:9">
      <c r="A60" s="113"/>
      <c r="B60" s="113"/>
      <c r="C60" s="124"/>
      <c r="D60" s="124"/>
      <c r="E60" s="166"/>
      <c r="F60" s="148"/>
      <c r="G60" s="16"/>
      <c r="H60" s="175"/>
      <c r="I60" s="124"/>
    </row>
    <row r="61" spans="1:9">
      <c r="A61" s="2" t="s">
        <v>821</v>
      </c>
      <c r="B61" s="2"/>
      <c r="E61" s="166"/>
      <c r="F61" s="312">
        <f>18.3-F55</f>
        <v>3.1360065111231687</v>
      </c>
      <c r="G61" s="16"/>
      <c r="H61" s="175"/>
      <c r="I61" s="124">
        <f>F61/(MCFS!$P$17/1000000)</f>
        <v>0.19297929773902534</v>
      </c>
    </row>
    <row r="62" spans="1:9">
      <c r="A62" s="113" t="s">
        <v>823</v>
      </c>
      <c r="B62" s="113"/>
      <c r="C62" s="124">
        <v>0.5</v>
      </c>
      <c r="D62" s="124"/>
      <c r="E62" s="166"/>
      <c r="F62" s="148">
        <f>C62*F61</f>
        <v>1.5680032555615844</v>
      </c>
      <c r="G62" s="16"/>
      <c r="H62" s="175"/>
      <c r="I62" s="124">
        <f>F62/(MCFS!$P$17/1000000)</f>
        <v>9.6489648869512668E-2</v>
      </c>
    </row>
    <row r="63" spans="1:9">
      <c r="A63" s="113" t="s">
        <v>187</v>
      </c>
      <c r="B63" s="113"/>
      <c r="C63" s="124">
        <v>0.5</v>
      </c>
      <c r="D63" s="124"/>
      <c r="E63" s="166"/>
      <c r="F63" s="148">
        <f>C63*F61</f>
        <v>1.5680032555615844</v>
      </c>
      <c r="G63" s="16"/>
      <c r="H63" s="175"/>
      <c r="I63" s="124">
        <f>F63/(MCFS!$P$17/1000000)</f>
        <v>9.6489648869512668E-2</v>
      </c>
    </row>
    <row r="64" spans="1:9">
      <c r="A64" s="113"/>
      <c r="B64" s="113"/>
      <c r="C64" s="124"/>
      <c r="D64" s="124"/>
      <c r="E64" s="166"/>
      <c r="F64" s="148"/>
      <c r="G64" s="16"/>
      <c r="H64" s="175"/>
      <c r="I64" s="124"/>
    </row>
    <row r="65" spans="1:9">
      <c r="A65" s="2" t="s">
        <v>822</v>
      </c>
      <c r="B65" s="2"/>
      <c r="E65" s="166"/>
      <c r="F65" s="312">
        <f>20.1-F55</f>
        <v>4.9360065111231695</v>
      </c>
      <c r="G65" s="16"/>
      <c r="H65" s="175"/>
      <c r="I65" s="124">
        <f>F65/(MCFS!$P$17/1000000)</f>
        <v>0.3037452463102982</v>
      </c>
    </row>
    <row r="66" spans="1:9">
      <c r="A66" s="113" t="s">
        <v>823</v>
      </c>
      <c r="B66" s="113"/>
      <c r="C66" s="124">
        <v>0.5</v>
      </c>
      <c r="D66" s="124"/>
      <c r="E66" s="166"/>
      <c r="F66" s="148">
        <f>C66*F65</f>
        <v>2.4680032555615847</v>
      </c>
      <c r="G66" s="16"/>
      <c r="H66" s="175"/>
      <c r="I66" s="124">
        <f>F66/(MCFS!$P$17/1000000)</f>
        <v>0.1518726231551491</v>
      </c>
    </row>
    <row r="67" spans="1:9">
      <c r="A67" s="113" t="s">
        <v>187</v>
      </c>
      <c r="B67" s="113"/>
      <c r="C67" s="124">
        <v>0.5</v>
      </c>
      <c r="D67" s="124"/>
      <c r="E67" s="166"/>
      <c r="F67" s="148">
        <f>C67*F65</f>
        <v>2.4680032555615847</v>
      </c>
      <c r="G67" s="16"/>
      <c r="H67" s="175"/>
      <c r="I67" s="124">
        <f>F67/(MCFS!$P$17/1000000)</f>
        <v>0.1518726231551491</v>
      </c>
    </row>
    <row r="68" spans="1:9">
      <c r="A68" s="113"/>
      <c r="B68" s="113"/>
      <c r="C68" s="124"/>
      <c r="D68" s="124"/>
      <c r="E68" s="166"/>
      <c r="F68" s="148"/>
      <c r="G68" s="16"/>
      <c r="H68" s="175"/>
      <c r="I68" s="124"/>
    </row>
    <row r="69" spans="1:9">
      <c r="A69" s="2"/>
      <c r="B69" s="2"/>
      <c r="C69" s="124"/>
      <c r="D69" s="124"/>
      <c r="E69" s="166"/>
      <c r="F69" s="148"/>
      <c r="G69" s="16"/>
      <c r="H69" s="175"/>
      <c r="I69" s="124"/>
    </row>
    <row r="70" spans="1:9">
      <c r="A70" s="2"/>
      <c r="B70" s="2"/>
      <c r="C70" s="124"/>
      <c r="D70" s="124"/>
      <c r="E70" s="166"/>
      <c r="F70" s="148"/>
      <c r="G70" s="16"/>
      <c r="H70" s="175"/>
      <c r="I70" s="124"/>
    </row>
    <row r="71" spans="1:9">
      <c r="A71" s="2"/>
      <c r="B71" s="2"/>
      <c r="C71" s="124"/>
      <c r="D71" s="124"/>
      <c r="E71" s="166"/>
      <c r="F71" s="148"/>
      <c r="G71" s="16"/>
      <c r="H71" s="175"/>
      <c r="I71" s="124"/>
    </row>
    <row r="72" spans="1:9">
      <c r="A72" s="2"/>
      <c r="B72" s="2"/>
      <c r="C72" s="124"/>
      <c r="D72" s="124"/>
      <c r="E72" s="166"/>
      <c r="F72" s="148"/>
      <c r="G72" s="16"/>
      <c r="H72" s="175"/>
      <c r="I72" s="124"/>
    </row>
    <row r="73" spans="1:9">
      <c r="A73" s="2"/>
      <c r="B73" s="2"/>
      <c r="C73" s="124"/>
      <c r="D73" s="124"/>
      <c r="E73" s="166"/>
      <c r="F73" s="148"/>
      <c r="G73" s="16"/>
      <c r="H73" s="175"/>
      <c r="I73" s="124"/>
    </row>
    <row r="74" spans="1:9">
      <c r="A74" s="113"/>
      <c r="B74" s="113"/>
      <c r="C74" s="124"/>
      <c r="D74" s="124"/>
      <c r="E74" s="166"/>
      <c r="F74" s="148"/>
      <c r="G74" s="16"/>
      <c r="H74" s="175"/>
      <c r="I74" s="124"/>
    </row>
    <row r="75" spans="1:9">
      <c r="A75" s="2"/>
      <c r="B75" s="2"/>
      <c r="E75" s="166"/>
      <c r="F75" s="148"/>
      <c r="G75" s="16"/>
      <c r="H75" s="175"/>
      <c r="I75" s="124"/>
    </row>
    <row r="76" spans="1:9">
      <c r="A76" s="2"/>
      <c r="B76" s="2"/>
      <c r="E76" s="166"/>
      <c r="F76" s="148"/>
      <c r="G76" s="16"/>
      <c r="H76" s="175"/>
      <c r="I76" s="124"/>
    </row>
    <row r="77" spans="1:9">
      <c r="A77" s="2"/>
      <c r="B77" s="2"/>
      <c r="E77" s="166"/>
      <c r="F77" s="148"/>
      <c r="G77" s="16"/>
      <c r="H77" s="175"/>
      <c r="I77" s="124"/>
    </row>
    <row r="78" spans="1:9">
      <c r="A78" s="2"/>
      <c r="B78" s="2"/>
      <c r="F78" s="148"/>
      <c r="I78" s="124"/>
    </row>
    <row r="79" spans="1:9">
      <c r="A79" s="2"/>
      <c r="B79" s="2"/>
      <c r="E79" s="166"/>
      <c r="F79" s="148"/>
      <c r="H79" s="175"/>
      <c r="I79" s="124"/>
    </row>
    <row r="80" spans="1:9">
      <c r="E80" s="166"/>
      <c r="H80" s="175"/>
    </row>
    <row r="81" spans="1:9">
      <c r="A81" s="2"/>
      <c r="B81" s="2"/>
      <c r="E81" s="166"/>
      <c r="F81" s="148"/>
      <c r="G81" s="16"/>
      <c r="H81" s="175"/>
      <c r="I81" s="124"/>
    </row>
    <row r="82" spans="1:9">
      <c r="A82" s="2"/>
      <c r="B82" s="2"/>
      <c r="E82" s="166"/>
      <c r="F82" s="148"/>
      <c r="G82" s="16"/>
      <c r="H82" s="175"/>
      <c r="I82" s="124"/>
    </row>
    <row r="83" spans="1:9">
      <c r="A83" s="2"/>
      <c r="B83" s="2"/>
      <c r="E83" s="166"/>
      <c r="F83" s="148"/>
      <c r="G83" s="16"/>
      <c r="H83" s="175"/>
      <c r="I83" s="124"/>
    </row>
    <row r="84" spans="1:9">
      <c r="A84" s="2"/>
      <c r="B84" s="2"/>
      <c r="F84" s="148"/>
      <c r="I84" s="124"/>
    </row>
    <row r="85" spans="1:9">
      <c r="A85" s="2"/>
      <c r="B85" s="2"/>
      <c r="E85" s="166"/>
      <c r="F85" s="148"/>
      <c r="H85" s="175"/>
      <c r="I85" s="124"/>
    </row>
  </sheetData>
  <phoneticPr fontId="0" type="noConversion"/>
  <printOptions horizontalCentered="1" verticalCentered="1"/>
  <pageMargins left="0.75" right="0.75" top="1" bottom="1" header="0.5" footer="0.5"/>
  <pageSetup scale="49" orientation="landscape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>
    <pageSetUpPr fitToPage="1"/>
  </sheetPr>
  <dimension ref="A1:AX173"/>
  <sheetViews>
    <sheetView tabSelected="1" zoomScale="50" workbookViewId="0">
      <pane xSplit="3" ySplit="14" topLeftCell="K57" activePane="bottomRight" state="frozen"/>
      <selection activeCell="I74" sqref="I74"/>
      <selection pane="topRight" activeCell="I74" sqref="I74"/>
      <selection pane="bottomLeft" activeCell="I74" sqref="I74"/>
      <selection pane="bottomRight" activeCell="P91" sqref="P91"/>
    </sheetView>
  </sheetViews>
  <sheetFormatPr defaultRowHeight="20.25"/>
  <cols>
    <col min="1" max="1" width="20.109375" style="10" bestFit="1" customWidth="1"/>
    <col min="2" max="2" width="35" style="10" bestFit="1" customWidth="1"/>
    <col min="3" max="3" width="49.6640625" style="1" customWidth="1"/>
    <col min="4" max="4" width="17.21875" style="1" customWidth="1"/>
    <col min="5" max="5" width="17.21875" style="1" bestFit="1" customWidth="1"/>
    <col min="6" max="6" width="16.77734375" style="1" bestFit="1" customWidth="1"/>
    <col min="7" max="7" width="17.21875" style="1" bestFit="1" customWidth="1"/>
    <col min="8" max="10" width="16.77734375" style="1" bestFit="1" customWidth="1"/>
    <col min="11" max="11" width="18.33203125" style="1" bestFit="1" customWidth="1"/>
    <col min="12" max="12" width="18.33203125" style="37" bestFit="1" customWidth="1"/>
    <col min="13" max="14" width="18.33203125" style="1" bestFit="1" customWidth="1"/>
    <col min="15" max="15" width="17.88671875" style="1" bestFit="1" customWidth="1"/>
    <col min="16" max="16" width="17.44140625" style="33" bestFit="1" customWidth="1"/>
    <col min="17" max="17" width="22.5546875" style="10" bestFit="1" customWidth="1"/>
    <col min="18" max="18" width="7.6640625" style="10" bestFit="1" customWidth="1"/>
    <col min="19" max="19" width="19" style="10" bestFit="1" customWidth="1"/>
    <col min="20" max="20" width="93.21875" style="1" bestFit="1" customWidth="1"/>
    <col min="21" max="32" width="16.77734375" style="1" bestFit="1" customWidth="1"/>
    <col min="33" max="33" width="17.44140625" style="1" bestFit="1" customWidth="1"/>
    <col min="34" max="34" width="15.88671875" style="1" bestFit="1" customWidth="1"/>
    <col min="35" max="35" width="19" style="1" bestFit="1" customWidth="1"/>
    <col min="36" max="36" width="93.21875" style="1" bestFit="1" customWidth="1"/>
    <col min="37" max="37" width="16.77734375" style="1" bestFit="1" customWidth="1"/>
    <col min="38" max="48" width="18.109375" style="1" bestFit="1" customWidth="1"/>
    <col min="49" max="49" width="17.44140625" style="1" bestFit="1" customWidth="1"/>
    <col min="50" max="50" width="14.5546875" style="10" bestFit="1" customWidth="1"/>
    <col min="51" max="51" width="9" style="1" bestFit="1" customWidth="1"/>
    <col min="52" max="16384" width="8.88671875" style="1"/>
  </cols>
  <sheetData>
    <row r="1" spans="1:50">
      <c r="C1" s="2" t="s">
        <v>157</v>
      </c>
    </row>
    <row r="2" spans="1:50">
      <c r="C2" s="111">
        <v>1000000</v>
      </c>
    </row>
    <row r="3" spans="1:50">
      <c r="C3" s="33" t="str">
        <f ca="1">CELL("FILENAME",A3)</f>
        <v>H:\Gaspurch\GasCosts\Annual\FY1214\[1214pgcFYendrevised27Aug12.xlsx]YR REPORTS</v>
      </c>
      <c r="D3" s="32"/>
      <c r="E3" s="352"/>
      <c r="F3" s="16"/>
      <c r="G3" s="39"/>
      <c r="H3" s="39"/>
      <c r="I3" s="197"/>
      <c r="J3" s="197"/>
      <c r="K3" s="197"/>
      <c r="L3" s="197"/>
      <c r="M3" s="39"/>
      <c r="N3" s="39"/>
      <c r="O3" s="39"/>
      <c r="P3" s="43"/>
      <c r="T3" s="33" t="str">
        <f ca="1">CELL("FILENAME",O3)</f>
        <v>H:\Gaspurch\GasCosts\Annual\FY1214\[1214pgcFYendrevised27Aug12.xlsx]YR REPORTS</v>
      </c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J3" s="33" t="str">
        <f ca="1">CELL("FILENAME",AF3)</f>
        <v>H:\Gaspurch\GasCosts\Annual\FY1214\[1214pgcFYendrevised27Aug12.xlsx]YR REPORTS</v>
      </c>
      <c r="AO3" s="16"/>
      <c r="AP3" s="16"/>
      <c r="AQ3" s="16"/>
      <c r="AR3" s="16"/>
      <c r="AS3" s="17"/>
      <c r="AT3" s="16"/>
    </row>
    <row r="4" spans="1:50">
      <c r="C4" s="2" t="s">
        <v>112</v>
      </c>
      <c r="D4" s="10"/>
      <c r="E4" s="10"/>
      <c r="F4" s="10"/>
      <c r="G4" s="10"/>
      <c r="H4" s="10"/>
      <c r="L4" s="17"/>
      <c r="M4" s="32"/>
      <c r="T4" s="2" t="s">
        <v>112</v>
      </c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32"/>
      <c r="AJ4" s="2" t="s">
        <v>112</v>
      </c>
      <c r="AK4" s="10"/>
      <c r="AS4" s="37"/>
    </row>
    <row r="5" spans="1:50">
      <c r="C5" s="2" t="s">
        <v>113</v>
      </c>
      <c r="D5" s="10"/>
      <c r="L5" s="24"/>
      <c r="M5" s="32"/>
      <c r="T5" s="2" t="s">
        <v>113</v>
      </c>
      <c r="U5" s="10"/>
      <c r="AC5" s="37"/>
      <c r="AJ5" s="2" t="s">
        <v>113</v>
      </c>
      <c r="AK5" s="10"/>
      <c r="AS5" s="37"/>
    </row>
    <row r="6" spans="1:50">
      <c r="C6" s="2" t="s">
        <v>111</v>
      </c>
      <c r="D6" s="22"/>
      <c r="E6" s="22"/>
      <c r="F6" s="22"/>
      <c r="G6" s="22"/>
      <c r="H6" s="22"/>
      <c r="I6" s="22"/>
      <c r="J6" s="22"/>
      <c r="M6" s="32"/>
      <c r="T6" s="2" t="s">
        <v>111</v>
      </c>
      <c r="U6" s="10"/>
      <c r="AC6" s="37"/>
      <c r="AJ6" s="2" t="s">
        <v>111</v>
      </c>
      <c r="AK6" s="10"/>
      <c r="AS6" s="37"/>
    </row>
    <row r="7" spans="1:50">
      <c r="C7" s="167">
        <f ca="1">NOW()</f>
        <v>41149.356660879632</v>
      </c>
      <c r="D7" s="11" t="s">
        <v>763</v>
      </c>
      <c r="E7" s="11" t="s">
        <v>763</v>
      </c>
      <c r="F7" s="11" t="s">
        <v>763</v>
      </c>
      <c r="G7" s="11" t="s">
        <v>763</v>
      </c>
      <c r="H7" s="11" t="s">
        <v>763</v>
      </c>
      <c r="I7" s="168"/>
      <c r="J7" s="124"/>
      <c r="K7" s="366"/>
      <c r="L7" s="124"/>
      <c r="M7" s="22"/>
      <c r="N7" s="22"/>
      <c r="O7" s="124"/>
      <c r="T7" s="167">
        <f ca="1">NOW()</f>
        <v>41149.356660879632</v>
      </c>
      <c r="U7" s="11" t="s">
        <v>763</v>
      </c>
      <c r="V7" s="11" t="s">
        <v>763</v>
      </c>
      <c r="W7" s="11" t="s">
        <v>763</v>
      </c>
      <c r="X7" s="11" t="s">
        <v>763</v>
      </c>
      <c r="Y7" s="11" t="s">
        <v>763</v>
      </c>
      <c r="AC7" s="37"/>
      <c r="AJ7" s="167">
        <f ca="1">NOW()</f>
        <v>41149.356660879632</v>
      </c>
      <c r="AK7" s="11" t="s">
        <v>763</v>
      </c>
      <c r="AL7" s="11" t="s">
        <v>763</v>
      </c>
      <c r="AM7" s="11" t="s">
        <v>763</v>
      </c>
      <c r="AN7" s="11" t="s">
        <v>763</v>
      </c>
      <c r="AO7" s="11" t="s">
        <v>763</v>
      </c>
      <c r="AS7" s="37"/>
    </row>
    <row r="8" spans="1:50" s="33" customFormat="1">
      <c r="A8" s="11"/>
      <c r="B8" s="11"/>
      <c r="D8" s="11" t="s">
        <v>930</v>
      </c>
      <c r="E8" s="11" t="s">
        <v>930</v>
      </c>
      <c r="F8" s="11" t="s">
        <v>930</v>
      </c>
      <c r="G8" s="11" t="s">
        <v>930</v>
      </c>
      <c r="H8" s="11" t="s">
        <v>930</v>
      </c>
      <c r="I8" s="11" t="s">
        <v>930</v>
      </c>
      <c r="J8" s="11" t="s">
        <v>930</v>
      </c>
      <c r="K8" s="11" t="s">
        <v>930</v>
      </c>
      <c r="L8" s="11" t="s">
        <v>930</v>
      </c>
      <c r="M8" s="11" t="s">
        <v>930</v>
      </c>
      <c r="N8" s="11" t="s">
        <v>930</v>
      </c>
      <c r="O8" s="11" t="s">
        <v>930</v>
      </c>
      <c r="Q8" s="11"/>
      <c r="R8" s="11"/>
      <c r="S8" s="11"/>
      <c r="U8" s="11" t="s">
        <v>69</v>
      </c>
      <c r="V8" s="11" t="s">
        <v>69</v>
      </c>
      <c r="W8" s="11" t="s">
        <v>69</v>
      </c>
      <c r="X8" s="11" t="s">
        <v>69</v>
      </c>
      <c r="Y8" s="11" t="s">
        <v>69</v>
      </c>
      <c r="Z8" s="11" t="s">
        <v>69</v>
      </c>
      <c r="AA8" s="11" t="s">
        <v>69</v>
      </c>
      <c r="AB8" s="11" t="s">
        <v>69</v>
      </c>
      <c r="AC8" s="13" t="s">
        <v>69</v>
      </c>
      <c r="AD8" s="11" t="s">
        <v>69</v>
      </c>
      <c r="AE8" s="11" t="s">
        <v>69</v>
      </c>
      <c r="AF8" s="11" t="s">
        <v>69</v>
      </c>
      <c r="AK8" s="11" t="s">
        <v>69</v>
      </c>
      <c r="AL8" s="11" t="s">
        <v>69</v>
      </c>
      <c r="AM8" s="11" t="s">
        <v>69</v>
      </c>
      <c r="AN8" s="11" t="s">
        <v>69</v>
      </c>
      <c r="AO8" s="11" t="s">
        <v>69</v>
      </c>
      <c r="AP8" s="11" t="s">
        <v>69</v>
      </c>
      <c r="AQ8" s="11" t="s">
        <v>69</v>
      </c>
      <c r="AR8" s="11" t="s">
        <v>69</v>
      </c>
      <c r="AS8" s="13" t="s">
        <v>69</v>
      </c>
      <c r="AT8" s="11" t="s">
        <v>69</v>
      </c>
      <c r="AU8" s="11" t="s">
        <v>69</v>
      </c>
      <c r="AV8" s="11" t="s">
        <v>69</v>
      </c>
      <c r="AX8" s="11"/>
    </row>
    <row r="9" spans="1:50" s="11" customFormat="1">
      <c r="A9" s="142"/>
      <c r="B9" s="142"/>
      <c r="C9" s="2"/>
      <c r="D9" s="142">
        <v>40725</v>
      </c>
      <c r="E9" s="142">
        <v>40756</v>
      </c>
      <c r="F9" s="142">
        <v>40787</v>
      </c>
      <c r="G9" s="142">
        <v>40817</v>
      </c>
      <c r="H9" s="142">
        <v>40848</v>
      </c>
      <c r="I9" s="142">
        <v>40878</v>
      </c>
      <c r="J9" s="142">
        <v>40909</v>
      </c>
      <c r="K9" s="142">
        <v>40940</v>
      </c>
      <c r="L9" s="142">
        <v>40969</v>
      </c>
      <c r="M9" s="142">
        <v>41000</v>
      </c>
      <c r="N9" s="142">
        <v>41030</v>
      </c>
      <c r="O9" s="142">
        <v>41061</v>
      </c>
      <c r="P9" s="142" t="s">
        <v>857</v>
      </c>
      <c r="Q9" s="189"/>
      <c r="R9" s="189"/>
      <c r="S9" s="142"/>
      <c r="T9" s="2"/>
      <c r="U9" s="142">
        <v>41091</v>
      </c>
      <c r="V9" s="142">
        <v>41122</v>
      </c>
      <c r="W9" s="142">
        <v>41153</v>
      </c>
      <c r="X9" s="142">
        <v>41183</v>
      </c>
      <c r="Y9" s="142">
        <v>41214</v>
      </c>
      <c r="Z9" s="142">
        <v>41244</v>
      </c>
      <c r="AA9" s="142">
        <v>41275</v>
      </c>
      <c r="AB9" s="142">
        <v>41306</v>
      </c>
      <c r="AC9" s="142">
        <v>41334</v>
      </c>
      <c r="AD9" s="142">
        <v>41365</v>
      </c>
      <c r="AE9" s="142">
        <v>41395</v>
      </c>
      <c r="AF9" s="142">
        <v>41426</v>
      </c>
      <c r="AG9" s="142" t="s">
        <v>878</v>
      </c>
      <c r="AH9" s="142" t="s">
        <v>601</v>
      </c>
      <c r="AI9" s="142"/>
      <c r="AJ9" s="2"/>
      <c r="AK9" s="142">
        <v>41456</v>
      </c>
      <c r="AL9" s="142">
        <v>41487</v>
      </c>
      <c r="AM9" s="142">
        <v>41518</v>
      </c>
      <c r="AN9" s="142">
        <v>41548</v>
      </c>
      <c r="AO9" s="142">
        <v>41579</v>
      </c>
      <c r="AP9" s="142">
        <v>41609</v>
      </c>
      <c r="AQ9" s="142">
        <v>41640</v>
      </c>
      <c r="AR9" s="142">
        <v>41671</v>
      </c>
      <c r="AS9" s="142">
        <v>41699</v>
      </c>
      <c r="AT9" s="142">
        <v>41730</v>
      </c>
      <c r="AU9" s="142">
        <v>41760</v>
      </c>
      <c r="AV9" s="142">
        <v>41791</v>
      </c>
      <c r="AW9" s="142" t="s">
        <v>906</v>
      </c>
      <c r="AX9" s="142" t="s">
        <v>601</v>
      </c>
    </row>
    <row r="10" spans="1:50" s="11" customFormat="1">
      <c r="A10" s="59"/>
      <c r="B10" s="59"/>
      <c r="C10" s="2" t="s">
        <v>127</v>
      </c>
      <c r="D10" s="22">
        <f t="shared" ref="D10:O10" si="0">D12-D11</f>
        <v>181842.4</v>
      </c>
      <c r="E10" s="22">
        <f t="shared" si="0"/>
        <v>211961.90000000005</v>
      </c>
      <c r="F10" s="22">
        <f t="shared" si="0"/>
        <v>237016.8</v>
      </c>
      <c r="G10" s="22">
        <f t="shared" si="0"/>
        <v>450304.8000000001</v>
      </c>
      <c r="H10" s="22">
        <f t="shared" si="0"/>
        <v>888782</v>
      </c>
      <c r="I10" s="22">
        <f t="shared" si="0"/>
        <v>1330964.4000000001</v>
      </c>
      <c r="J10" s="22">
        <f t="shared" si="0"/>
        <v>1532639.5</v>
      </c>
      <c r="K10" s="22">
        <f t="shared" si="0"/>
        <v>1365526.7000000002</v>
      </c>
      <c r="L10" s="28">
        <f t="shared" si="0"/>
        <v>659992.1</v>
      </c>
      <c r="M10" s="22">
        <f t="shared" si="0"/>
        <v>455603.20000000013</v>
      </c>
      <c r="N10" s="22">
        <f t="shared" si="0"/>
        <v>282740.90000000002</v>
      </c>
      <c r="O10" s="22">
        <f t="shared" si="0"/>
        <v>211775.99999999997</v>
      </c>
      <c r="P10" s="59">
        <f t="shared" ref="P10:P17" si="1">SUM(D10:O10)</f>
        <v>7809150.7000000011</v>
      </c>
      <c r="Q10" s="59"/>
      <c r="R10" s="168"/>
      <c r="S10" s="59"/>
      <c r="T10" s="2" t="s">
        <v>127</v>
      </c>
      <c r="U10" s="22">
        <f>U12-U11</f>
        <v>206212</v>
      </c>
      <c r="V10" s="22">
        <f t="shared" ref="V10:AF10" si="2">V12-V11</f>
        <v>206212</v>
      </c>
      <c r="W10" s="22">
        <f t="shared" si="2"/>
        <v>246191</v>
      </c>
      <c r="X10" s="22">
        <f t="shared" si="2"/>
        <v>572086.00000000012</v>
      </c>
      <c r="Y10" s="22">
        <f t="shared" si="2"/>
        <v>992287</v>
      </c>
      <c r="Z10" s="22">
        <f t="shared" si="2"/>
        <v>1542369.5</v>
      </c>
      <c r="AA10" s="22">
        <f t="shared" si="2"/>
        <v>1705578</v>
      </c>
      <c r="AB10" s="22">
        <f t="shared" si="2"/>
        <v>1396868.5</v>
      </c>
      <c r="AC10" s="22">
        <f t="shared" si="2"/>
        <v>1129864.5</v>
      </c>
      <c r="AD10" s="22">
        <f t="shared" si="2"/>
        <v>630000</v>
      </c>
      <c r="AE10" s="22">
        <f t="shared" si="2"/>
        <v>338931</v>
      </c>
      <c r="AF10" s="22">
        <f t="shared" si="2"/>
        <v>208527.5</v>
      </c>
      <c r="AG10" s="59">
        <f>AG12-AG11</f>
        <v>9175127</v>
      </c>
      <c r="AH10" s="59">
        <f t="shared" ref="AH10:AH15" si="3">AG10-P10</f>
        <v>1365976.2999999989</v>
      </c>
      <c r="AI10" s="59"/>
      <c r="AJ10" s="2" t="s">
        <v>127</v>
      </c>
      <c r="AK10" s="22">
        <f>AK12-AK11</f>
        <v>210056</v>
      </c>
      <c r="AL10" s="22">
        <f t="shared" ref="AL10:AV10" si="4">AL12-AL11</f>
        <v>210056</v>
      </c>
      <c r="AM10" s="22">
        <f t="shared" si="4"/>
        <v>250640.3</v>
      </c>
      <c r="AN10" s="22">
        <f t="shared" si="4"/>
        <v>581652.19999999995</v>
      </c>
      <c r="AO10" s="22">
        <f t="shared" si="4"/>
        <v>1008405.1000000001</v>
      </c>
      <c r="AP10" s="22">
        <f t="shared" si="4"/>
        <v>1567110.75</v>
      </c>
      <c r="AQ10" s="22">
        <f t="shared" si="4"/>
        <v>1732871.8000000003</v>
      </c>
      <c r="AR10" s="22">
        <f t="shared" si="4"/>
        <v>1419274.25</v>
      </c>
      <c r="AS10" s="22">
        <f t="shared" si="4"/>
        <v>1148154.25</v>
      </c>
      <c r="AT10" s="22">
        <f t="shared" si="4"/>
        <v>640452</v>
      </c>
      <c r="AU10" s="22">
        <f t="shared" si="4"/>
        <v>344850.69999999995</v>
      </c>
      <c r="AV10" s="22">
        <f t="shared" si="4"/>
        <v>212387.75</v>
      </c>
      <c r="AW10" s="59">
        <f>AW12-AW11</f>
        <v>9325911.0999999996</v>
      </c>
      <c r="AX10" s="59">
        <f>AW10-AG10</f>
        <v>150784.09999999963</v>
      </c>
    </row>
    <row r="11" spans="1:50" s="13" customFormat="1">
      <c r="A11" s="131"/>
      <c r="B11" s="131"/>
      <c r="C11" s="376" t="s">
        <v>140</v>
      </c>
      <c r="D11" s="394">
        <f>+MCFS!D81</f>
        <v>55553.9</v>
      </c>
      <c r="E11" s="394">
        <f>+MCFS!E81</f>
        <v>64381.4</v>
      </c>
      <c r="F11" s="394">
        <f>+MCFS!F81</f>
        <v>73763.7</v>
      </c>
      <c r="G11" s="394">
        <f>+MCFS!G81</f>
        <v>105069.8</v>
      </c>
      <c r="H11" s="394">
        <f>+MCFS!H81</f>
        <v>152859.6</v>
      </c>
      <c r="I11" s="394">
        <f>+MCFS!I81</f>
        <v>207520.1</v>
      </c>
      <c r="J11" s="394">
        <f>+MCFS!J81</f>
        <v>226153.4</v>
      </c>
      <c r="K11" s="394">
        <f>+MCFS!K81</f>
        <v>199813.2</v>
      </c>
      <c r="L11" s="394">
        <f>+MCFS!L81</f>
        <v>145493.5</v>
      </c>
      <c r="M11" s="394">
        <f>+MCFS!M81</f>
        <v>110052.3</v>
      </c>
      <c r="N11" s="394">
        <f>+MCFS!N81</f>
        <v>89413</v>
      </c>
      <c r="O11" s="394">
        <f>+MCFS!O81</f>
        <v>69948.100000000006</v>
      </c>
      <c r="P11" s="131">
        <f t="shared" si="1"/>
        <v>1500022.0000000002</v>
      </c>
      <c r="Q11" s="131"/>
      <c r="R11" s="131"/>
      <c r="S11" s="131"/>
      <c r="T11" s="170" t="s">
        <v>140</v>
      </c>
      <c r="U11" s="28">
        <f>+MCFS!T46</f>
        <v>62682</v>
      </c>
      <c r="V11" s="28">
        <f>+MCFS!U46</f>
        <v>62682</v>
      </c>
      <c r="W11" s="28">
        <f>+MCFS!V46</f>
        <v>65743</v>
      </c>
      <c r="X11" s="28">
        <f>+MCFS!W46</f>
        <v>102564</v>
      </c>
      <c r="Y11" s="28">
        <f>+MCFS!X46</f>
        <v>147071</v>
      </c>
      <c r="Z11" s="28">
        <f>+MCFS!Y46</f>
        <v>208329.5</v>
      </c>
      <c r="AA11" s="28">
        <f>+MCFS!Z46</f>
        <v>226120</v>
      </c>
      <c r="AB11" s="28">
        <f>+MCFS!AA46</f>
        <v>188578.5</v>
      </c>
      <c r="AC11" s="28">
        <f>+MCFS!AB46</f>
        <v>163364.5</v>
      </c>
      <c r="AD11" s="28">
        <f>+MCFS!AC46</f>
        <v>107580</v>
      </c>
      <c r="AE11" s="28">
        <f>+MCFS!AD46</f>
        <v>77149</v>
      </c>
      <c r="AF11" s="28">
        <f>+MCFS!AE46</f>
        <v>61637.5</v>
      </c>
      <c r="AG11" s="131">
        <f t="shared" ref="AG11:AG23" si="5">SUM(U11:AF11)</f>
        <v>1473501</v>
      </c>
      <c r="AH11" s="131">
        <f t="shared" si="3"/>
        <v>-26521.000000000233</v>
      </c>
      <c r="AI11" s="131"/>
      <c r="AJ11" s="170" t="s">
        <v>140</v>
      </c>
      <c r="AK11" s="28">
        <f>+MCFS!AJ46</f>
        <v>62682</v>
      </c>
      <c r="AL11" s="28">
        <f>+MCFS!AK46</f>
        <v>62682</v>
      </c>
      <c r="AM11" s="28">
        <f>+MCFS!AL46</f>
        <v>65743</v>
      </c>
      <c r="AN11" s="28">
        <f>+MCFS!AM46</f>
        <v>102564</v>
      </c>
      <c r="AO11" s="28">
        <f>+MCFS!AN46</f>
        <v>147071</v>
      </c>
      <c r="AP11" s="28">
        <f>+MCFS!AO46</f>
        <v>208329.5</v>
      </c>
      <c r="AQ11" s="28">
        <f>+MCFS!AP46</f>
        <v>226120</v>
      </c>
      <c r="AR11" s="28">
        <f>+MCFS!AQ46</f>
        <v>188578.5</v>
      </c>
      <c r="AS11" s="28">
        <f>+MCFS!AR46</f>
        <v>163364.5</v>
      </c>
      <c r="AT11" s="28">
        <f>+MCFS!AS46</f>
        <v>107580</v>
      </c>
      <c r="AU11" s="28">
        <f>+MCFS!AT46</f>
        <v>77149</v>
      </c>
      <c r="AV11" s="28">
        <f>+MCFS!AU46</f>
        <v>61637.5</v>
      </c>
      <c r="AW11" s="131">
        <f>SUM(AK11:AV11)</f>
        <v>1473501</v>
      </c>
      <c r="AX11" s="211">
        <f>AW11-AG11</f>
        <v>0</v>
      </c>
    </row>
    <row r="12" spans="1:50" s="28" customFormat="1">
      <c r="A12" s="131"/>
      <c r="B12" s="131"/>
      <c r="C12" s="377" t="s">
        <v>115</v>
      </c>
      <c r="D12" s="394">
        <f>+MCFS!D89</f>
        <v>237396.3</v>
      </c>
      <c r="E12" s="394">
        <f>+MCFS!E89</f>
        <v>276343.30000000005</v>
      </c>
      <c r="F12" s="394">
        <f>+MCFS!F89</f>
        <v>310780.5</v>
      </c>
      <c r="G12" s="394">
        <f>+MCFS!G89</f>
        <v>555374.60000000009</v>
      </c>
      <c r="H12" s="394">
        <f>+MCFS!H89</f>
        <v>1041641.6</v>
      </c>
      <c r="I12" s="394">
        <f>+MCFS!I89</f>
        <v>1538484.5000000002</v>
      </c>
      <c r="J12" s="394">
        <f>+MCFS!J89</f>
        <v>1758792.9</v>
      </c>
      <c r="K12" s="394">
        <f>+MCFS!K89</f>
        <v>1565339.9000000001</v>
      </c>
      <c r="L12" s="394">
        <f>+MCFS!L89</f>
        <v>805485.6</v>
      </c>
      <c r="M12" s="394">
        <f>+MCFS!M89</f>
        <v>565655.50000000012</v>
      </c>
      <c r="N12" s="394">
        <f>+MCFS!N89</f>
        <v>372153.9</v>
      </c>
      <c r="O12" s="394">
        <f>+MCFS!O89</f>
        <v>281724.09999999998</v>
      </c>
      <c r="P12" s="131">
        <f t="shared" si="1"/>
        <v>9309172.7000000011</v>
      </c>
      <c r="Q12" s="131"/>
      <c r="R12" s="131"/>
      <c r="S12" s="131"/>
      <c r="T12" s="207" t="s">
        <v>115</v>
      </c>
      <c r="U12" s="28">
        <f>+MCFS!T52</f>
        <v>268894</v>
      </c>
      <c r="V12" s="28">
        <f>+MCFS!U52</f>
        <v>268894</v>
      </c>
      <c r="W12" s="28">
        <f>+MCFS!V52</f>
        <v>311934</v>
      </c>
      <c r="X12" s="28">
        <f>+MCFS!W52</f>
        <v>674650.00000000012</v>
      </c>
      <c r="Y12" s="28">
        <f>+MCFS!X52</f>
        <v>1139358</v>
      </c>
      <c r="Z12" s="28">
        <f>+MCFS!Y52</f>
        <v>1750699</v>
      </c>
      <c r="AA12" s="28">
        <f>+MCFS!Z52</f>
        <v>1931698</v>
      </c>
      <c r="AB12" s="28">
        <f>+MCFS!AA52</f>
        <v>1585447</v>
      </c>
      <c r="AC12" s="28">
        <f>+MCFS!AB52</f>
        <v>1293229</v>
      </c>
      <c r="AD12" s="28">
        <f>+MCFS!AC52</f>
        <v>737580</v>
      </c>
      <c r="AE12" s="28">
        <f>+MCFS!AD52</f>
        <v>416080</v>
      </c>
      <c r="AF12" s="28">
        <f>+MCFS!AE52</f>
        <v>270165</v>
      </c>
      <c r="AG12" s="131">
        <f t="shared" si="5"/>
        <v>10648628</v>
      </c>
      <c r="AH12" s="131">
        <f t="shared" si="3"/>
        <v>1339455.2999999989</v>
      </c>
      <c r="AI12" s="131"/>
      <c r="AJ12" s="207" t="s">
        <v>115</v>
      </c>
      <c r="AK12" s="28">
        <f>+MCFS!AJ52</f>
        <v>272738</v>
      </c>
      <c r="AL12" s="28">
        <f>+MCFS!AK52</f>
        <v>272738</v>
      </c>
      <c r="AM12" s="28">
        <f>+MCFS!AL52</f>
        <v>316383.3</v>
      </c>
      <c r="AN12" s="28">
        <f>+MCFS!AM52</f>
        <v>684216.2</v>
      </c>
      <c r="AO12" s="28">
        <f>+MCFS!AN52</f>
        <v>1155476.1000000001</v>
      </c>
      <c r="AP12" s="28">
        <f>+MCFS!AO52</f>
        <v>1775440.25</v>
      </c>
      <c r="AQ12" s="28">
        <f>+MCFS!AP52</f>
        <v>1958991.8000000003</v>
      </c>
      <c r="AR12" s="28">
        <f>+MCFS!AQ52</f>
        <v>1607852.75</v>
      </c>
      <c r="AS12" s="28">
        <f>+MCFS!AR52</f>
        <v>1311518.75</v>
      </c>
      <c r="AT12" s="28">
        <f>+MCFS!AS52</f>
        <v>748032</v>
      </c>
      <c r="AU12" s="28">
        <f>+MCFS!AT52</f>
        <v>421999.69999999995</v>
      </c>
      <c r="AV12" s="28">
        <f>+MCFS!AU52</f>
        <v>274025.25</v>
      </c>
      <c r="AW12" s="131">
        <f>SUM(AK12:AV12)</f>
        <v>10799412.1</v>
      </c>
      <c r="AX12" s="131">
        <f>AW12-AG12</f>
        <v>150784.09999999963</v>
      </c>
    </row>
    <row r="13" spans="1:50" s="28" customFormat="1">
      <c r="A13" s="131"/>
      <c r="B13" s="131"/>
      <c r="C13" s="377" t="s">
        <v>116</v>
      </c>
      <c r="D13" s="394">
        <f>+MCFS!D103</f>
        <v>216811.1</v>
      </c>
      <c r="E13" s="394">
        <f>+MCFS!E103</f>
        <v>240336.4</v>
      </c>
      <c r="F13" s="394">
        <f>+MCFS!F103</f>
        <v>255779.8</v>
      </c>
      <c r="G13" s="394">
        <f>+MCFS!G103</f>
        <v>275439.8</v>
      </c>
      <c r="H13" s="394">
        <f>+MCFS!H103</f>
        <v>330773.90000000002</v>
      </c>
      <c r="I13" s="394">
        <f>+MCFS!I103</f>
        <v>357854.10000000003</v>
      </c>
      <c r="J13" s="394">
        <f>+MCFS!J103</f>
        <v>372037</v>
      </c>
      <c r="K13" s="394">
        <f>+MCFS!K103</f>
        <v>352315.7</v>
      </c>
      <c r="L13" s="394">
        <f>+MCFS!L103</f>
        <v>299981</v>
      </c>
      <c r="M13" s="394">
        <f>+MCFS!M103</f>
        <v>269909.3</v>
      </c>
      <c r="N13" s="394">
        <f>+MCFS!N103</f>
        <v>247803</v>
      </c>
      <c r="O13" s="394">
        <f>+MCFS!O103</f>
        <v>229430.5</v>
      </c>
      <c r="P13" s="131">
        <f t="shared" si="1"/>
        <v>3448471.6</v>
      </c>
      <c r="Q13" s="131"/>
      <c r="R13" s="131"/>
      <c r="S13" s="131"/>
      <c r="T13" s="207" t="s">
        <v>116</v>
      </c>
      <c r="U13" s="28">
        <f>+MCFS!T64</f>
        <v>224940</v>
      </c>
      <c r="V13" s="28">
        <f>+MCFS!U64</f>
        <v>239240</v>
      </c>
      <c r="W13" s="28">
        <f>+MCFS!V64</f>
        <v>254540</v>
      </c>
      <c r="X13" s="28">
        <f>+MCFS!W64</f>
        <v>278940</v>
      </c>
      <c r="Y13" s="28">
        <f>+MCFS!X64</f>
        <v>336440</v>
      </c>
      <c r="Z13" s="28">
        <f>+MCFS!Y64</f>
        <v>427440</v>
      </c>
      <c r="AA13" s="28">
        <f>+MCFS!Z64</f>
        <v>449440</v>
      </c>
      <c r="AB13" s="28">
        <f>+MCFS!AA64</f>
        <v>367440</v>
      </c>
      <c r="AC13" s="28">
        <f>+MCFS!AB64</f>
        <v>329440</v>
      </c>
      <c r="AD13" s="28">
        <f>+MCFS!AC64</f>
        <v>310440</v>
      </c>
      <c r="AE13" s="28">
        <f>+MCFS!AD64</f>
        <v>244940</v>
      </c>
      <c r="AF13" s="28">
        <f>+MCFS!AE64</f>
        <v>249440</v>
      </c>
      <c r="AG13" s="131">
        <f t="shared" si="5"/>
        <v>3712680</v>
      </c>
      <c r="AH13" s="131">
        <f t="shared" si="3"/>
        <v>264208.39999999991</v>
      </c>
      <c r="AI13" s="131"/>
      <c r="AJ13" s="207" t="s">
        <v>116</v>
      </c>
      <c r="AK13" s="28">
        <f>+MCFS!AJ64</f>
        <v>236500</v>
      </c>
      <c r="AL13" s="28">
        <f>+MCFS!AK64</f>
        <v>251500</v>
      </c>
      <c r="AM13" s="28">
        <f>+MCFS!AL64</f>
        <v>257200</v>
      </c>
      <c r="AN13" s="28">
        <f>+MCFS!AM64</f>
        <v>291700</v>
      </c>
      <c r="AO13" s="28">
        <f>+MCFS!AN64</f>
        <v>346200</v>
      </c>
      <c r="AP13" s="28">
        <f>+MCFS!AO64</f>
        <v>445200</v>
      </c>
      <c r="AQ13" s="28">
        <f>+MCFS!AP64</f>
        <v>466200</v>
      </c>
      <c r="AR13" s="28">
        <f>+MCFS!AQ64</f>
        <v>373200</v>
      </c>
      <c r="AS13" s="28">
        <f>+MCFS!AR64</f>
        <v>338200</v>
      </c>
      <c r="AT13" s="28">
        <f>+MCFS!AS64</f>
        <v>320200</v>
      </c>
      <c r="AU13" s="28">
        <f>+MCFS!AT64</f>
        <v>257700</v>
      </c>
      <c r="AV13" s="28">
        <f>+MCFS!AU64</f>
        <v>257200</v>
      </c>
      <c r="AW13" s="131">
        <f>SUM(AK13:AV13)</f>
        <v>3841000</v>
      </c>
      <c r="AX13" s="131">
        <f>AW13-AG13</f>
        <v>128320</v>
      </c>
    </row>
    <row r="14" spans="1:50">
      <c r="A14" s="59"/>
      <c r="B14" s="59"/>
      <c r="C14" s="2" t="s">
        <v>70</v>
      </c>
      <c r="D14" s="22">
        <f t="shared" ref="D14:O14" si="6">SUM(D12:D13)</f>
        <v>454207.4</v>
      </c>
      <c r="E14" s="22">
        <f t="shared" si="6"/>
        <v>516679.70000000007</v>
      </c>
      <c r="F14" s="22">
        <f t="shared" si="6"/>
        <v>566560.30000000005</v>
      </c>
      <c r="G14" s="22">
        <f t="shared" si="6"/>
        <v>830814.40000000014</v>
      </c>
      <c r="H14" s="22">
        <f t="shared" si="6"/>
        <v>1372415.5</v>
      </c>
      <c r="I14" s="22">
        <f t="shared" si="6"/>
        <v>1896338.6000000003</v>
      </c>
      <c r="J14" s="22">
        <f t="shared" si="6"/>
        <v>2130829.9</v>
      </c>
      <c r="K14" s="22">
        <f t="shared" si="6"/>
        <v>1917655.6</v>
      </c>
      <c r="L14" s="22">
        <f t="shared" si="6"/>
        <v>1105466.6000000001</v>
      </c>
      <c r="M14" s="22">
        <f t="shared" si="6"/>
        <v>835564.8</v>
      </c>
      <c r="N14" s="22">
        <f t="shared" si="6"/>
        <v>619956.9</v>
      </c>
      <c r="O14" s="22">
        <f t="shared" si="6"/>
        <v>511154.6</v>
      </c>
      <c r="P14" s="59">
        <f t="shared" si="1"/>
        <v>12757644.300000001</v>
      </c>
      <c r="Q14" s="59"/>
      <c r="R14" s="59"/>
      <c r="S14" s="59"/>
      <c r="T14" s="2" t="s">
        <v>70</v>
      </c>
      <c r="U14" s="22">
        <f t="shared" ref="U14:AF14" si="7">SUM(U12:U13)</f>
        <v>493834</v>
      </c>
      <c r="V14" s="22">
        <f t="shared" si="7"/>
        <v>508134</v>
      </c>
      <c r="W14" s="22">
        <f t="shared" si="7"/>
        <v>566474</v>
      </c>
      <c r="X14" s="22">
        <f t="shared" si="7"/>
        <v>953590.00000000012</v>
      </c>
      <c r="Y14" s="22">
        <f t="shared" si="7"/>
        <v>1475798</v>
      </c>
      <c r="Z14" s="22">
        <f t="shared" si="7"/>
        <v>2178139</v>
      </c>
      <c r="AA14" s="22">
        <f t="shared" si="7"/>
        <v>2381138</v>
      </c>
      <c r="AB14" s="22">
        <f t="shared" si="7"/>
        <v>1952887</v>
      </c>
      <c r="AC14" s="22">
        <f t="shared" si="7"/>
        <v>1622669</v>
      </c>
      <c r="AD14" s="22">
        <f t="shared" si="7"/>
        <v>1048020</v>
      </c>
      <c r="AE14" s="22">
        <f t="shared" si="7"/>
        <v>661020</v>
      </c>
      <c r="AF14" s="22">
        <f t="shared" si="7"/>
        <v>519605</v>
      </c>
      <c r="AG14" s="59">
        <f t="shared" si="5"/>
        <v>14361308</v>
      </c>
      <c r="AH14" s="59">
        <f t="shared" si="3"/>
        <v>1603663.6999999993</v>
      </c>
      <c r="AI14" s="59"/>
      <c r="AJ14" s="2" t="s">
        <v>70</v>
      </c>
      <c r="AK14" s="22">
        <f t="shared" ref="AK14:AV14" si="8">SUM(AK12:AK13)</f>
        <v>509238</v>
      </c>
      <c r="AL14" s="22">
        <f t="shared" si="8"/>
        <v>524238</v>
      </c>
      <c r="AM14" s="22">
        <f t="shared" si="8"/>
        <v>573583.30000000005</v>
      </c>
      <c r="AN14" s="22">
        <f t="shared" si="8"/>
        <v>975916.2</v>
      </c>
      <c r="AO14" s="22">
        <f t="shared" si="8"/>
        <v>1501676.1</v>
      </c>
      <c r="AP14" s="22">
        <f t="shared" si="8"/>
        <v>2220640.25</v>
      </c>
      <c r="AQ14" s="22">
        <f t="shared" si="8"/>
        <v>2425191.8000000003</v>
      </c>
      <c r="AR14" s="22">
        <f t="shared" si="8"/>
        <v>1981052.75</v>
      </c>
      <c r="AS14" s="28">
        <f t="shared" si="8"/>
        <v>1649718.75</v>
      </c>
      <c r="AT14" s="22">
        <f t="shared" si="8"/>
        <v>1068232</v>
      </c>
      <c r="AU14" s="22">
        <f t="shared" si="8"/>
        <v>679699.7</v>
      </c>
      <c r="AV14" s="22">
        <f t="shared" si="8"/>
        <v>531225.25</v>
      </c>
      <c r="AW14" s="59">
        <f>SUM(AK14:AV14)</f>
        <v>14640412.1</v>
      </c>
      <c r="AX14" s="59">
        <f>AW14-AG14</f>
        <v>279104.09999999963</v>
      </c>
    </row>
    <row r="15" spans="1:50">
      <c r="A15" s="59"/>
      <c r="B15" s="59"/>
      <c r="C15" s="2" t="s">
        <v>976</v>
      </c>
      <c r="D15" s="22">
        <f>D14*1.04/0.95</f>
        <v>497237.57473684219</v>
      </c>
      <c r="E15" s="22">
        <f t="shared" ref="E15:O15" si="9">E14*1.04/0.95</f>
        <v>565628.30315789476</v>
      </c>
      <c r="F15" s="22">
        <f t="shared" si="9"/>
        <v>620234.43368421064</v>
      </c>
      <c r="G15" s="22">
        <f t="shared" si="9"/>
        <v>909523.13263157918</v>
      </c>
      <c r="H15" s="22">
        <f t="shared" si="9"/>
        <v>1502433.8105263161</v>
      </c>
      <c r="I15" s="22">
        <f t="shared" si="9"/>
        <v>2075991.7305263162</v>
      </c>
      <c r="J15" s="22">
        <f t="shared" si="9"/>
        <v>2332697.9957894739</v>
      </c>
      <c r="K15" s="22">
        <f t="shared" si="9"/>
        <v>2099328.2357894741</v>
      </c>
      <c r="L15" s="22">
        <f t="shared" si="9"/>
        <v>1210195.0147368424</v>
      </c>
      <c r="M15" s="22">
        <f t="shared" si="9"/>
        <v>914723.57052631595</v>
      </c>
      <c r="N15" s="22">
        <f t="shared" si="9"/>
        <v>678689.6589473685</v>
      </c>
      <c r="O15" s="22">
        <f t="shared" si="9"/>
        <v>559579.77263157896</v>
      </c>
      <c r="P15" s="59">
        <f t="shared" si="1"/>
        <v>13966263.233684214</v>
      </c>
      <c r="Q15" s="59"/>
      <c r="R15" s="59"/>
      <c r="S15" s="59"/>
      <c r="T15" s="2"/>
      <c r="U15" s="22">
        <f>U20-'[3]YR REPORTS'!AK14</f>
        <v>-4073554.6763111819</v>
      </c>
      <c r="V15" s="22">
        <f>V20-'[3]YR REPORTS'!AL14</f>
        <v>-4012812.9905468831</v>
      </c>
      <c r="W15" s="22">
        <f>W20-'[3]YR REPORTS'!AM14</f>
        <v>-3716818.922362092</v>
      </c>
      <c r="X15" s="22">
        <f>X20-'[3]YR REPORTS'!AN14</f>
        <v>-5348088.1307129292</v>
      </c>
      <c r="Y15" s="22">
        <f>Y20-'[3]YR REPORTS'!AO14</f>
        <v>-7674781.3890601732</v>
      </c>
      <c r="Z15" s="22">
        <f>Z20-'[3]YR REPORTS'!AP14</f>
        <v>-6928519.289035758</v>
      </c>
      <c r="AA15" s="22">
        <f>AA20-'[3]YR REPORTS'!AQ14</f>
        <v>-8395246.8206686713</v>
      </c>
      <c r="AB15" s="22">
        <f>AB20-'[3]YR REPORTS'!AR14</f>
        <v>-7855508.671497792</v>
      </c>
      <c r="AC15" s="22">
        <f>AC20-'[3]YR REPORTS'!AS14</f>
        <v>-7423879.5231077634</v>
      </c>
      <c r="AD15" s="22">
        <f>AD20-'[3]YR REPORTS'!AT14</f>
        <v>-6420947.4447521232</v>
      </c>
      <c r="AE15" s="22">
        <f>AE20-'[3]YR REPORTS'!AU14</f>
        <v>-5218641.8910518326</v>
      </c>
      <c r="AF15" s="22">
        <f>AF20-'[3]YR REPORTS'!AV14</f>
        <v>-4299072.284641372</v>
      </c>
      <c r="AG15" s="59">
        <f t="shared" si="5"/>
        <v>-71367872.033748567</v>
      </c>
      <c r="AH15" s="59">
        <f t="shared" si="3"/>
        <v>-85334135.267432779</v>
      </c>
      <c r="AI15" s="59"/>
      <c r="AJ15" s="2"/>
      <c r="AK15" s="22"/>
      <c r="AL15" s="22"/>
      <c r="AM15" s="22"/>
      <c r="AN15" s="22"/>
      <c r="AO15" s="22"/>
      <c r="AP15" s="22"/>
      <c r="AQ15" s="22"/>
      <c r="AR15" s="22"/>
      <c r="AS15" s="28"/>
      <c r="AT15" s="22"/>
      <c r="AU15" s="22"/>
      <c r="AV15" s="22"/>
      <c r="AW15" s="59"/>
    </row>
    <row r="16" spans="1:50">
      <c r="A16" s="59"/>
      <c r="B16" s="59"/>
      <c r="C16" s="2" t="s">
        <v>871</v>
      </c>
      <c r="D16" s="22">
        <v>483450.30000000005</v>
      </c>
      <c r="E16" s="22">
        <v>531090.49999999988</v>
      </c>
      <c r="F16" s="22">
        <v>583937.59999999986</v>
      </c>
      <c r="G16" s="22">
        <v>949333.50000000012</v>
      </c>
      <c r="H16" s="22">
        <v>1404054.8</v>
      </c>
      <c r="I16" s="22">
        <v>1959405</v>
      </c>
      <c r="J16" s="22">
        <v>2341272</v>
      </c>
      <c r="K16" s="28">
        <v>2000269</v>
      </c>
      <c r="L16" s="28">
        <v>1149243</v>
      </c>
      <c r="M16" s="22">
        <v>912145.5</v>
      </c>
      <c r="N16" s="22">
        <v>588725</v>
      </c>
      <c r="O16" s="22">
        <v>541188.1</v>
      </c>
      <c r="P16" s="59">
        <f t="shared" si="1"/>
        <v>13444114.299999999</v>
      </c>
      <c r="Q16" s="59"/>
      <c r="R16" s="59"/>
      <c r="S16" s="59"/>
      <c r="T16" s="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59"/>
      <c r="AH16" s="59"/>
      <c r="AI16" s="59"/>
      <c r="AJ16" s="2"/>
      <c r="AK16" s="22"/>
      <c r="AL16" s="22"/>
      <c r="AM16" s="22"/>
      <c r="AN16" s="22"/>
      <c r="AO16" s="22"/>
      <c r="AP16" s="22"/>
      <c r="AQ16" s="22"/>
      <c r="AR16" s="22"/>
      <c r="AS16" s="28"/>
      <c r="AT16" s="22"/>
      <c r="AU16" s="22"/>
      <c r="AV16" s="22"/>
      <c r="AW16" s="59"/>
    </row>
    <row r="17" spans="1:50" s="105" customFormat="1">
      <c r="A17" s="209"/>
      <c r="B17" s="209"/>
      <c r="C17" s="367" t="s">
        <v>872</v>
      </c>
      <c r="D17" s="108">
        <f>D15-D16</f>
        <v>13787.274736842141</v>
      </c>
      <c r="E17" s="108">
        <f t="shared" ref="E17:O17" si="10">E15-E16</f>
        <v>34537.803157894872</v>
      </c>
      <c r="F17" s="108">
        <f t="shared" si="10"/>
        <v>36296.833684210782</v>
      </c>
      <c r="G17" s="108">
        <f t="shared" si="10"/>
        <v>-39810.367368420935</v>
      </c>
      <c r="H17" s="108">
        <f t="shared" si="10"/>
        <v>98379.010526316008</v>
      </c>
      <c r="I17" s="108">
        <f t="shared" si="10"/>
        <v>116586.73052631621</v>
      </c>
      <c r="J17" s="108">
        <f t="shared" si="10"/>
        <v>-8574.0042105261236</v>
      </c>
      <c r="K17" s="108">
        <f t="shared" si="10"/>
        <v>99059.2357894741</v>
      </c>
      <c r="L17" s="108">
        <f t="shared" si="10"/>
        <v>60952.014736842364</v>
      </c>
      <c r="M17" s="108">
        <f t="shared" si="10"/>
        <v>2578.0705263159471</v>
      </c>
      <c r="N17" s="108">
        <f t="shared" si="10"/>
        <v>89964.658947368502</v>
      </c>
      <c r="O17" s="108">
        <f t="shared" si="10"/>
        <v>18391.672631578986</v>
      </c>
      <c r="P17" s="59">
        <f t="shared" si="1"/>
        <v>522148.93368421285</v>
      </c>
      <c r="Q17" s="209"/>
      <c r="R17" s="209"/>
      <c r="S17" s="209"/>
      <c r="T17" s="367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209"/>
      <c r="AH17" s="209"/>
      <c r="AI17" s="209"/>
      <c r="AJ17" s="367"/>
      <c r="AK17" s="108"/>
      <c r="AL17" s="108"/>
      <c r="AM17" s="108"/>
      <c r="AN17" s="108"/>
      <c r="AO17" s="108"/>
      <c r="AP17" s="108"/>
      <c r="AQ17" s="108"/>
      <c r="AR17" s="108"/>
      <c r="AS17" s="107"/>
      <c r="AT17" s="108"/>
      <c r="AU17" s="108"/>
      <c r="AV17" s="108"/>
      <c r="AW17" s="209"/>
      <c r="AX17" s="108"/>
    </row>
    <row r="18" spans="1:50">
      <c r="A18" s="59"/>
      <c r="B18" s="59"/>
      <c r="C18" s="2" t="s">
        <v>873</v>
      </c>
      <c r="D18" s="124">
        <f>D17/D15</f>
        <v>2.7727741098686906E-2</v>
      </c>
      <c r="E18" s="124">
        <f t="shared" ref="E18:P18" si="11">E17/E15</f>
        <v>6.1060952864400192E-2</v>
      </c>
      <c r="F18" s="124">
        <f t="shared" si="11"/>
        <v>5.8521152185322139E-2</v>
      </c>
      <c r="G18" s="124">
        <f t="shared" si="11"/>
        <v>-4.3770593556246504E-2</v>
      </c>
      <c r="H18" s="124">
        <f t="shared" si="11"/>
        <v>6.5479763459165605E-2</v>
      </c>
      <c r="I18" s="124">
        <f t="shared" si="11"/>
        <v>5.6159535133002932E-2</v>
      </c>
      <c r="J18" s="124">
        <f t="shared" si="11"/>
        <v>-3.6755740460197696E-3</v>
      </c>
      <c r="K18" s="124">
        <f t="shared" si="11"/>
        <v>4.7186158934418299E-2</v>
      </c>
      <c r="L18" s="124">
        <f t="shared" si="11"/>
        <v>5.0365448538966601E-2</v>
      </c>
      <c r="M18" s="124">
        <f t="shared" si="11"/>
        <v>2.8184148844361476E-3</v>
      </c>
      <c r="N18" s="124">
        <f t="shared" si="11"/>
        <v>0.13255640153247886</v>
      </c>
      <c r="O18" s="124">
        <f t="shared" si="11"/>
        <v>3.2866936102938546E-2</v>
      </c>
      <c r="P18" s="124">
        <f t="shared" si="11"/>
        <v>3.7386445103288604E-2</v>
      </c>
      <c r="Q18" s="59"/>
      <c r="R18" s="59"/>
      <c r="S18" s="59"/>
      <c r="T18" s="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59"/>
      <c r="AH18" s="59"/>
      <c r="AI18" s="59"/>
      <c r="AJ18" s="2"/>
      <c r="AK18" s="22"/>
      <c r="AL18" s="22"/>
      <c r="AM18" s="22"/>
      <c r="AN18" s="22"/>
      <c r="AO18" s="22"/>
      <c r="AP18" s="22"/>
      <c r="AQ18" s="22"/>
      <c r="AR18" s="22"/>
      <c r="AS18" s="28"/>
      <c r="AT18" s="22"/>
      <c r="AU18" s="22"/>
      <c r="AV18" s="22"/>
      <c r="AW18" s="59"/>
    </row>
    <row r="19" spans="1:50">
      <c r="A19" s="59"/>
      <c r="B19" s="59"/>
      <c r="C19" s="2"/>
      <c r="D19" s="32"/>
      <c r="E19" s="32"/>
      <c r="F19" s="32"/>
      <c r="G19" s="197"/>
      <c r="H19" s="197"/>
      <c r="I19" s="197"/>
      <c r="J19" s="197"/>
      <c r="K19" s="197"/>
      <c r="L19" s="197"/>
      <c r="M19" s="197"/>
      <c r="N19" s="32"/>
      <c r="O19" s="32"/>
      <c r="P19" s="43"/>
      <c r="Q19" s="59"/>
      <c r="R19" s="59"/>
      <c r="S19" s="59"/>
      <c r="T19" s="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59"/>
      <c r="AH19" s="59"/>
      <c r="AI19" s="59"/>
      <c r="AJ19" s="2"/>
      <c r="AK19" s="22"/>
      <c r="AL19" s="22"/>
      <c r="AM19" s="22"/>
      <c r="AN19" s="22"/>
      <c r="AO19" s="22"/>
      <c r="AP19" s="22"/>
      <c r="AQ19" s="22"/>
      <c r="AR19" s="22"/>
      <c r="AS19" s="28"/>
      <c r="AT19" s="22"/>
      <c r="AU19" s="22"/>
      <c r="AV19" s="22"/>
      <c r="AW19" s="59"/>
    </row>
    <row r="20" spans="1:50">
      <c r="C20" s="2" t="s">
        <v>441</v>
      </c>
      <c r="D20" s="32">
        <f>('FT GAS'!G39*'FT GAS'!G117)</f>
        <v>4806068.1701929839</v>
      </c>
      <c r="E20" s="32">
        <f>('FT GAS'!H39*'FT GAS'!H117)</f>
        <v>4395544.7410526322</v>
      </c>
      <c r="F20" s="32">
        <f>('FT GAS'!I39*'FT GAS'!I117)</f>
        <v>3850779.5684771934</v>
      </c>
      <c r="G20" s="32">
        <f>('FT GAS'!J39*'FT GAS'!J117)</f>
        <v>4955145.3505479228</v>
      </c>
      <c r="H20" s="32">
        <f>('FT GAS'!K39*'FT GAS'!K117)</f>
        <v>5478980.7556964001</v>
      </c>
      <c r="I20" s="32">
        <f>('FT GAS'!L39*'FT GAS'!L117)</f>
        <v>5909982.0614626044</v>
      </c>
      <c r="J20" s="32">
        <f>('FT GAS'!M39*'FT GAS'!M117)</f>
        <v>5381126.4836210534</v>
      </c>
      <c r="K20" s="32">
        <f>('FT GAS'!N39*'FT GAS'!N117)</f>
        <v>4548668.7047841195</v>
      </c>
      <c r="L20" s="32">
        <f>('FT GAS'!O39*'FT GAS'!O117)</f>
        <v>4372794.3050101576</v>
      </c>
      <c r="M20" s="32">
        <f>('FT GAS'!P39*'FT GAS'!P117)</f>
        <v>3416485.3598005548</v>
      </c>
      <c r="N20" s="32">
        <f>('FT GAS'!Q39*'FT GAS'!Q117)</f>
        <v>2627535.9657780239</v>
      </c>
      <c r="O20" s="32">
        <f>('FT GAS'!R39*'FT GAS'!R117)</f>
        <v>2620779.2797257621</v>
      </c>
      <c r="P20" s="43">
        <f t="shared" ref="P20:P26" si="12">SUM(D20:O20)</f>
        <v>52363890.746149398</v>
      </c>
      <c r="T20" s="2" t="s">
        <v>441</v>
      </c>
      <c r="U20" s="32">
        <f>+'FT GAS'!X39*'FT GAS'!X117</f>
        <v>3133989.7578694737</v>
      </c>
      <c r="V20" s="32">
        <f>+'FT GAS'!Y39*'FT GAS'!Y117</f>
        <v>3542720.0314065926</v>
      </c>
      <c r="W20" s="32">
        <f>+'FT GAS'!Z39*'FT GAS'!Z117</f>
        <v>3336917.3019632874</v>
      </c>
      <c r="X20" s="32">
        <f>+'FT GAS'!AA39*'FT GAS'!AA117</f>
        <v>4479117.2042280352</v>
      </c>
      <c r="Y20" s="32">
        <f>+'FT GAS'!AB39*'FT GAS'!AB117</f>
        <v>5660168.4242437687</v>
      </c>
      <c r="Z20" s="32">
        <f>+'FT GAS'!AC39*'FT GAS'!AC117</f>
        <v>5737018.147979835</v>
      </c>
      <c r="AA20" s="32">
        <f>+'FT GAS'!AD39*'FT GAS'!AD117</f>
        <v>6303341.366408024</v>
      </c>
      <c r="AB20" s="32">
        <f>+'FT GAS'!AE39*'FT GAS'!AE117</f>
        <v>5208952.5296679791</v>
      </c>
      <c r="AC20" s="32">
        <f>+'FT GAS'!AF39*'FT GAS'!AF117</f>
        <v>5576672.2508954778</v>
      </c>
      <c r="AD20" s="32">
        <f>+'FT GAS'!AG39*'FT GAS'!AG117</f>
        <v>5806725.2544221058</v>
      </c>
      <c r="AE20" s="32">
        <f>+'FT GAS'!AH39*'FT GAS'!AH117</f>
        <v>4364806.0877132975</v>
      </c>
      <c r="AF20" s="32">
        <f>+'FT GAS'!AI39*'FT GAS'!AI117</f>
        <v>3810125.4287150516</v>
      </c>
      <c r="AG20" s="43">
        <f t="shared" si="5"/>
        <v>56960553.785512924</v>
      </c>
      <c r="AJ20" s="2" t="s">
        <v>441</v>
      </c>
      <c r="AK20" s="32">
        <f>+'FT GAS'!AO39*'FT GAS'!AO117</f>
        <v>3857997.8845701204</v>
      </c>
      <c r="AL20" s="32">
        <f>+'FT GAS'!AP39*'FT GAS'!AP117</f>
        <v>4043747.4713719115</v>
      </c>
      <c r="AM20" s="32">
        <f>+'FT GAS'!AQ39*'FT GAS'!AQ117</f>
        <v>3735631.8078416255</v>
      </c>
      <c r="AN20" s="32">
        <f>+'FT GAS'!AR39*'FT GAS'!AR117</f>
        <v>5080940.7700272584</v>
      </c>
      <c r="AO20" s="32">
        <f>+'FT GAS'!AS39*'FT GAS'!AS117</f>
        <v>6502484.3482770091</v>
      </c>
      <c r="AP20" s="32">
        <f>+'FT GAS'!AT39*'FT GAS'!AT117</f>
        <v>6574093.4222878693</v>
      </c>
      <c r="AQ20" s="32">
        <f>+'FT GAS'!AU39*'FT GAS'!AU117</f>
        <v>7176197.1937809996</v>
      </c>
      <c r="AR20" s="32">
        <f>+'FT GAS'!AV39*'FT GAS'!AV117</f>
        <v>5833991.5662380615</v>
      </c>
      <c r="AS20" s="32">
        <f>+'FT GAS'!AW39*'FT GAS'!AW117</f>
        <v>6170155.9293246921</v>
      </c>
      <c r="AT20" s="32">
        <f>+'FT GAS'!AX39*'FT GAS'!AX117</f>
        <v>6259916.6979862237</v>
      </c>
      <c r="AU20" s="32">
        <f>+'FT GAS'!AY39*'FT GAS'!AY117</f>
        <v>5008552.3112276457</v>
      </c>
      <c r="AV20" s="32">
        <f>+'FT GAS'!AZ39*'FT GAS'!AZ117</f>
        <v>4354305.1582801845</v>
      </c>
      <c r="AW20" s="43">
        <f>SUM(AK20:AV20)</f>
        <v>64598014.561213605</v>
      </c>
    </row>
    <row r="21" spans="1:50" s="357" customFormat="1">
      <c r="A21" s="252"/>
      <c r="B21" s="353"/>
      <c r="C21" s="378" t="s">
        <v>128</v>
      </c>
      <c r="D21" s="433">
        <f t="shared" ref="D21:O21" si="13">D25-D22</f>
        <v>1969527.1627576179</v>
      </c>
      <c r="E21" s="433">
        <f t="shared" si="13"/>
        <v>2264279.8410242535</v>
      </c>
      <c r="F21" s="433">
        <f t="shared" si="13"/>
        <v>2206774.5011801808</v>
      </c>
      <c r="G21" s="433">
        <f t="shared" si="13"/>
        <v>3638947.0895120944</v>
      </c>
      <c r="H21" s="433">
        <f t="shared" si="13"/>
        <v>5113363.7611889997</v>
      </c>
      <c r="I21" s="433">
        <f t="shared" si="13"/>
        <v>7659362.5306669921</v>
      </c>
      <c r="J21" s="433">
        <f t="shared" si="13"/>
        <v>9185293.935443243</v>
      </c>
      <c r="K21" s="433">
        <f t="shared" si="13"/>
        <v>7309195.0759723876</v>
      </c>
      <c r="L21" s="433">
        <f t="shared" si="13"/>
        <v>4097581.8862323863</v>
      </c>
      <c r="M21" s="433">
        <f t="shared" si="13"/>
        <v>2694552.4671966536</v>
      </c>
      <c r="N21" s="433">
        <f t="shared" si="13"/>
        <v>1226534.0876028542</v>
      </c>
      <c r="O21" s="433">
        <f t="shared" si="13"/>
        <v>1273463.8828321979</v>
      </c>
      <c r="P21" s="353">
        <f t="shared" si="12"/>
        <v>48638876.221609853</v>
      </c>
      <c r="Q21" s="401">
        <f>P21+P22</f>
        <v>69454091.107059851</v>
      </c>
      <c r="R21" s="353"/>
      <c r="S21" s="353"/>
      <c r="T21" s="355" t="s">
        <v>128</v>
      </c>
      <c r="U21" s="356">
        <f>('FT GAS'!X7*'FT GAS'!X117)</f>
        <v>1681234.6269896873</v>
      </c>
      <c r="V21" s="356">
        <f>('FT GAS'!Y7*'FT GAS'!Y117)</f>
        <v>1876641.8410100376</v>
      </c>
      <c r="W21" s="356">
        <f>('FT GAS'!Z7*'FT GAS'!Z117)</f>
        <v>2119432.5840503373</v>
      </c>
      <c r="X21" s="356">
        <f>('FT GAS'!AA7*'FT GAS'!AA117)</f>
        <v>3602657.0613148864</v>
      </c>
      <c r="Y21" s="354">
        <f>('FT GAS'!AB39*'FT GAS'!AB117)-'STORAGE TOT'!S12</f>
        <v>5660168.4242437687</v>
      </c>
      <c r="Z21" s="354">
        <f>('FT GAS'!AC39*'FT GAS'!AC117)-'STORAGE TOT'!T12</f>
        <v>8683611.8813185841</v>
      </c>
      <c r="AA21" s="354">
        <f>('FT GAS'!AD39*'FT GAS'!AD117)-'STORAGE TOT'!U12</f>
        <v>9691419.050818976</v>
      </c>
      <c r="AB21" s="354">
        <f>('FT GAS'!AE39*'FT GAS'!AE117)-'STORAGE TOT'!V12</f>
        <v>7975429.8943407144</v>
      </c>
      <c r="AC21" s="354">
        <f>('FT GAS'!AF39*'FT GAS'!AF117)-'STORAGE TOT'!W12</f>
        <v>6723496.2139394442</v>
      </c>
      <c r="AD21" s="356">
        <f>('FT GAS'!AG7*'FT GAS'!AG117)</f>
        <v>4346237.4336730409</v>
      </c>
      <c r="AE21" s="356">
        <f>('FT GAS'!AH7*'FT GAS'!AH117)</f>
        <v>2587544.9402390467</v>
      </c>
      <c r="AF21" s="356">
        <f>('FT GAS'!AI7*'FT GAS'!AI117)</f>
        <v>2040161.1705632983</v>
      </c>
      <c r="AG21" s="353">
        <f t="shared" si="5"/>
        <v>56988035.12250182</v>
      </c>
      <c r="AH21" s="252"/>
      <c r="AI21" s="353"/>
      <c r="AJ21" s="355" t="s">
        <v>128</v>
      </c>
      <c r="AK21" s="356">
        <f>('FT GAS'!AO7*'FT GAS'!AO117)</f>
        <v>2089724.4048901207</v>
      </c>
      <c r="AL21" s="356">
        <f>('FT GAS'!AP7*'FT GAS'!AP117)</f>
        <v>2164146.9197119116</v>
      </c>
      <c r="AM21" s="356">
        <f>('FT GAS'!AQ7*'FT GAS'!AQ117)</f>
        <v>2373046.038881625</v>
      </c>
      <c r="AN21" s="356">
        <f>('FT GAS'!AR7*'FT GAS'!AR117)</f>
        <v>4091191.7437872584</v>
      </c>
      <c r="AO21" s="354">
        <f>('FT GAS'!AS39*'FT GAS'!AS117)-'STORAGE TOT'!AE12</f>
        <v>6502484.3482770091</v>
      </c>
      <c r="AP21" s="354">
        <f>('FT GAS'!AT39*'FT GAS'!AT117)-'STORAGE TOT'!AF12</f>
        <v>9689645.3391127065</v>
      </c>
      <c r="AQ21" s="354">
        <f>('FT GAS'!AU39*'FT GAS'!AU117)-'STORAGE TOT'!AG12</f>
        <v>10754460.295821829</v>
      </c>
      <c r="AR21" s="354">
        <f>('FT GAS'!AV39*'FT GAS'!AV117)-'STORAGE TOT'!AH12</f>
        <v>8756084.7058935184</v>
      </c>
      <c r="AS21" s="354">
        <f>('FT GAS'!AW39*'FT GAS'!AW117)-'STORAGE TOT'!AI12</f>
        <v>7389876.7401793022</v>
      </c>
      <c r="AT21" s="356">
        <f>('FT GAS'!AX7*'FT GAS'!AX117)</f>
        <v>4707741.5532262241</v>
      </c>
      <c r="AU21" s="356">
        <f>('FT GAS'!AY7*'FT GAS'!AY117)</f>
        <v>3002504.9620476458</v>
      </c>
      <c r="AV21" s="356">
        <f>('FT GAS'!AZ7*'FT GAS'!AZ117)</f>
        <v>2355366.5946001844</v>
      </c>
      <c r="AW21" s="353">
        <f>SUM(AK21:AV21)</f>
        <v>63876273.64642933</v>
      </c>
      <c r="AX21" s="252"/>
    </row>
    <row r="22" spans="1:50" s="112" customFormat="1">
      <c r="A22" s="43"/>
      <c r="B22" s="43"/>
      <c r="C22" s="379" t="s">
        <v>71</v>
      </c>
      <c r="D22" s="39">
        <f>+DEMAND!B107</f>
        <v>1691092.1852719998</v>
      </c>
      <c r="E22" s="39">
        <f>+DEMAND!C107</f>
        <v>1681164.1980819998</v>
      </c>
      <c r="F22" s="39">
        <f>+DEMAND!D107</f>
        <v>1686606.505688</v>
      </c>
      <c r="G22" s="39">
        <f>+DEMAND!E107</f>
        <v>1837705.219488</v>
      </c>
      <c r="H22" s="39">
        <f>+DEMAND!F107</f>
        <v>1801014.8288110001</v>
      </c>
      <c r="I22" s="39">
        <f>+DEMAND!G107</f>
        <v>1820496.4326200001</v>
      </c>
      <c r="J22" s="39">
        <f>+DEMAND!H107</f>
        <v>1816123.6224890002</v>
      </c>
      <c r="K22" s="39">
        <f>+DEMAND!I107</f>
        <v>1801543.6909</v>
      </c>
      <c r="L22" s="39">
        <f>+DEMAND!J107</f>
        <v>1817918.2879000001</v>
      </c>
      <c r="M22" s="39">
        <f>+DEMAND!K107</f>
        <v>1625110.6113999998</v>
      </c>
      <c r="N22" s="39">
        <f>+DEMAND!L107</f>
        <v>1618896.9213999999</v>
      </c>
      <c r="O22" s="39">
        <f>+DEMAND!M107</f>
        <v>1617542.3813999998</v>
      </c>
      <c r="P22" s="43">
        <f t="shared" si="12"/>
        <v>20815214.885450002</v>
      </c>
      <c r="Q22" s="169">
        <f>P22-P71</f>
        <v>19037017.78545</v>
      </c>
      <c r="R22" s="43"/>
      <c r="S22" s="43"/>
      <c r="T22" s="208" t="s">
        <v>71</v>
      </c>
      <c r="U22" s="32">
        <f>+DEMAND!T107</f>
        <v>1665344.9012</v>
      </c>
      <c r="V22" s="32">
        <f>+DEMAND!U107</f>
        <v>1665344.9012</v>
      </c>
      <c r="W22" s="32">
        <f>+DEMAND!V107</f>
        <v>1665344.9012</v>
      </c>
      <c r="X22" s="32">
        <f>+DEMAND!W107</f>
        <v>1803738.2511999998</v>
      </c>
      <c r="Y22" s="32">
        <f>+DEMAND!X107</f>
        <v>1851353.3511999999</v>
      </c>
      <c r="Z22" s="32">
        <f>+DEMAND!Y107</f>
        <v>1851353.3511999999</v>
      </c>
      <c r="AA22" s="32">
        <f>+DEMAND!Z107</f>
        <v>1851353.3511999999</v>
      </c>
      <c r="AB22" s="32">
        <f>+DEMAND!AA107</f>
        <v>1851353.3511999999</v>
      </c>
      <c r="AC22" s="32">
        <f>+DEMAND!AB107</f>
        <v>1851353.3511999999</v>
      </c>
      <c r="AD22" s="32">
        <f>+DEMAND!AC107</f>
        <v>1665344.9012</v>
      </c>
      <c r="AE22" s="32">
        <f>+DEMAND!AD107</f>
        <v>1665344.9012</v>
      </c>
      <c r="AF22" s="32">
        <f>+DEMAND!AE107</f>
        <v>1665344.9012</v>
      </c>
      <c r="AG22" s="43">
        <f t="shared" si="5"/>
        <v>21052574.414399996</v>
      </c>
      <c r="AH22" s="43"/>
      <c r="AI22" s="43"/>
      <c r="AJ22" s="208" t="s">
        <v>71</v>
      </c>
      <c r="AK22" s="32">
        <f>+DEMAND!AL107</f>
        <v>1665344.9012</v>
      </c>
      <c r="AL22" s="32">
        <f>+DEMAND!AM107</f>
        <v>1665344.9012</v>
      </c>
      <c r="AM22" s="32">
        <f>+DEMAND!AN107</f>
        <v>1665344.9012</v>
      </c>
      <c r="AN22" s="32">
        <f>+DEMAND!AO107</f>
        <v>1803738.2511999998</v>
      </c>
      <c r="AO22" s="32">
        <f>+DEMAND!AP107</f>
        <v>1851353.3511999999</v>
      </c>
      <c r="AP22" s="32">
        <f>+DEMAND!AQ107</f>
        <v>1851353.3511999999</v>
      </c>
      <c r="AQ22" s="32">
        <f>+DEMAND!AR107</f>
        <v>1851353.3511999999</v>
      </c>
      <c r="AR22" s="32">
        <f>+DEMAND!AS107</f>
        <v>1851353.3511999999</v>
      </c>
      <c r="AS22" s="32">
        <f>+DEMAND!AT107</f>
        <v>1851353.3511999999</v>
      </c>
      <c r="AT22" s="32">
        <f>+DEMAND!AU107</f>
        <v>1665344.9012</v>
      </c>
      <c r="AU22" s="32">
        <f>+DEMAND!AV107</f>
        <v>1665344.9012</v>
      </c>
      <c r="AV22" s="32">
        <f>+DEMAND!AW107</f>
        <v>1665344.9012</v>
      </c>
      <c r="AW22" s="43">
        <f>SUM(AK22:AV22)</f>
        <v>21052574.414399996</v>
      </c>
      <c r="AX22" s="32"/>
    </row>
    <row r="23" spans="1:50" s="112" customFormat="1">
      <c r="A23" s="43"/>
      <c r="B23" s="43"/>
      <c r="C23" s="5" t="s">
        <v>442</v>
      </c>
      <c r="D23" s="39">
        <f t="shared" ref="D23:O23" si="14">SUM(D20,D22)</f>
        <v>6497160.3554649837</v>
      </c>
      <c r="E23" s="39">
        <f t="shared" si="14"/>
        <v>6076708.9391346322</v>
      </c>
      <c r="F23" s="39">
        <f t="shared" si="14"/>
        <v>5537386.0741651934</v>
      </c>
      <c r="G23" s="39">
        <f t="shared" si="14"/>
        <v>6792850.5700359233</v>
      </c>
      <c r="H23" s="39">
        <f t="shared" si="14"/>
        <v>7279995.5845074002</v>
      </c>
      <c r="I23" s="39">
        <f t="shared" si="14"/>
        <v>7730478.4940826045</v>
      </c>
      <c r="J23" s="39">
        <f t="shared" si="14"/>
        <v>7197250.1061100531</v>
      </c>
      <c r="K23" s="39">
        <f t="shared" si="14"/>
        <v>6350212.3956841193</v>
      </c>
      <c r="L23" s="39">
        <f t="shared" si="14"/>
        <v>6190712.5929101575</v>
      </c>
      <c r="M23" s="39">
        <f t="shared" si="14"/>
        <v>5041595.9712005546</v>
      </c>
      <c r="N23" s="39">
        <f t="shared" si="14"/>
        <v>4246432.8871780243</v>
      </c>
      <c r="O23" s="39">
        <f t="shared" si="14"/>
        <v>4238321.6611257624</v>
      </c>
      <c r="P23" s="43">
        <f t="shared" si="12"/>
        <v>73179105.631599411</v>
      </c>
      <c r="Q23" s="169"/>
      <c r="R23" s="43"/>
      <c r="S23" s="43"/>
      <c r="T23" s="5" t="s">
        <v>442</v>
      </c>
      <c r="U23" s="39">
        <f t="shared" ref="U23:AF23" si="15">SUM(U20,U22)</f>
        <v>4799334.6590694739</v>
      </c>
      <c r="V23" s="39">
        <f t="shared" si="15"/>
        <v>5208064.9326065928</v>
      </c>
      <c r="W23" s="39">
        <f t="shared" si="15"/>
        <v>5002262.2031632876</v>
      </c>
      <c r="X23" s="39">
        <f t="shared" si="15"/>
        <v>6282855.455428035</v>
      </c>
      <c r="Y23" s="39">
        <f t="shared" si="15"/>
        <v>7511521.7754437681</v>
      </c>
      <c r="Z23" s="39">
        <f t="shared" si="15"/>
        <v>7588371.4991798345</v>
      </c>
      <c r="AA23" s="39">
        <f t="shared" si="15"/>
        <v>8154694.7176080234</v>
      </c>
      <c r="AB23" s="39">
        <f t="shared" si="15"/>
        <v>7060305.8808679786</v>
      </c>
      <c r="AC23" s="39">
        <f t="shared" si="15"/>
        <v>7428025.6020954773</v>
      </c>
      <c r="AD23" s="39">
        <f t="shared" si="15"/>
        <v>7472070.155622106</v>
      </c>
      <c r="AE23" s="39">
        <f t="shared" si="15"/>
        <v>6030150.9889132977</v>
      </c>
      <c r="AF23" s="39">
        <f t="shared" si="15"/>
        <v>5475470.3299150513</v>
      </c>
      <c r="AG23" s="43">
        <f t="shared" si="5"/>
        <v>78013128.199912921</v>
      </c>
      <c r="AH23" s="43"/>
      <c r="AI23" s="43"/>
      <c r="AJ23" s="5" t="s">
        <v>442</v>
      </c>
      <c r="AK23" s="39">
        <f t="shared" ref="AK23:AV23" si="16">SUM(AK20,AK22)</f>
        <v>5523342.7857701201</v>
      </c>
      <c r="AL23" s="39">
        <f t="shared" si="16"/>
        <v>5709092.3725719117</v>
      </c>
      <c r="AM23" s="39">
        <f t="shared" si="16"/>
        <v>5400976.7090416253</v>
      </c>
      <c r="AN23" s="39">
        <f t="shared" si="16"/>
        <v>6884679.0212272583</v>
      </c>
      <c r="AO23" s="39">
        <f t="shared" si="16"/>
        <v>8353837.6994770095</v>
      </c>
      <c r="AP23" s="39">
        <f t="shared" si="16"/>
        <v>8425446.7734878697</v>
      </c>
      <c r="AQ23" s="39">
        <f t="shared" si="16"/>
        <v>9027550.5449809991</v>
      </c>
      <c r="AR23" s="39">
        <f t="shared" si="16"/>
        <v>7685344.9174380619</v>
      </c>
      <c r="AS23" s="39">
        <f t="shared" si="16"/>
        <v>8021509.2805246916</v>
      </c>
      <c r="AT23" s="39">
        <f t="shared" si="16"/>
        <v>7925261.5991862239</v>
      </c>
      <c r="AU23" s="39">
        <f t="shared" si="16"/>
        <v>6673897.2124276459</v>
      </c>
      <c r="AV23" s="39">
        <f t="shared" si="16"/>
        <v>6019650.0594801847</v>
      </c>
      <c r="AW23" s="43">
        <f>SUM(AK23:AV23)</f>
        <v>85650588.975613609</v>
      </c>
      <c r="AX23" s="32"/>
    </row>
    <row r="24" spans="1:50" s="112" customFormat="1">
      <c r="A24" s="43"/>
      <c r="B24" s="43"/>
      <c r="C24" s="5" t="s">
        <v>443</v>
      </c>
      <c r="D24" s="393">
        <v>6142694.1299999999</v>
      </c>
      <c r="E24" s="393">
        <v>6007953.1799999997</v>
      </c>
      <c r="F24" s="393">
        <v>5406680.1299999999</v>
      </c>
      <c r="G24" s="393">
        <v>6049140.5999999996</v>
      </c>
      <c r="H24" s="393">
        <v>6876970.9000000004</v>
      </c>
      <c r="I24" s="393">
        <v>6344228.7800000003</v>
      </c>
      <c r="J24" s="393">
        <v>6523322.6900000004</v>
      </c>
      <c r="K24" s="393">
        <v>5986010.0999999996</v>
      </c>
      <c r="L24" s="393">
        <v>4723897.42</v>
      </c>
      <c r="M24" s="393">
        <v>3955772.14</v>
      </c>
      <c r="N24" s="393">
        <v>3914646.11</v>
      </c>
      <c r="O24" s="393">
        <v>4103375.62</v>
      </c>
      <c r="P24" s="43">
        <f t="shared" si="12"/>
        <v>66034691.799999997</v>
      </c>
      <c r="Q24" s="43"/>
      <c r="R24" s="43"/>
      <c r="S24" s="43"/>
      <c r="T24" s="5" t="s">
        <v>443</v>
      </c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43"/>
      <c r="AH24" s="43"/>
      <c r="AI24" s="43"/>
      <c r="AJ24" s="5" t="s">
        <v>443</v>
      </c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43"/>
      <c r="AX24" s="32"/>
    </row>
    <row r="25" spans="1:50">
      <c r="A25" s="43"/>
      <c r="B25" s="43"/>
      <c r="C25" s="8" t="s">
        <v>129</v>
      </c>
      <c r="D25" s="393">
        <v>3660619.3480296177</v>
      </c>
      <c r="E25" s="393">
        <v>3945444.0391062535</v>
      </c>
      <c r="F25" s="393">
        <v>3893381.0068681808</v>
      </c>
      <c r="G25" s="393">
        <v>5476652.3090000944</v>
      </c>
      <c r="H25" s="393">
        <v>6914378.5899999999</v>
      </c>
      <c r="I25" s="393">
        <v>9479858.9632869922</v>
      </c>
      <c r="J25" s="393">
        <v>11001417.557932243</v>
      </c>
      <c r="K25" s="393">
        <v>9110738.7668723874</v>
      </c>
      <c r="L25" s="393">
        <v>5915500.1741323862</v>
      </c>
      <c r="M25" s="393">
        <v>4319663.0785966534</v>
      </c>
      <c r="N25" s="393">
        <v>2845431.0090028541</v>
      </c>
      <c r="O25" s="393">
        <v>2891006.2642321978</v>
      </c>
      <c r="P25" s="42">
        <f t="shared" si="12"/>
        <v>69454091.107059866</v>
      </c>
      <c r="Q25" s="190">
        <f>Q21-P25</f>
        <v>0</v>
      </c>
      <c r="R25" s="140"/>
      <c r="T25" s="2" t="s">
        <v>129</v>
      </c>
      <c r="U25" s="32">
        <f t="shared" ref="U25:AF25" si="17">SUM(U21:U22)</f>
        <v>3346579.5281896871</v>
      </c>
      <c r="V25" s="32">
        <f t="shared" si="17"/>
        <v>3541986.7422100375</v>
      </c>
      <c r="W25" s="32">
        <f t="shared" si="17"/>
        <v>3784777.485250337</v>
      </c>
      <c r="X25" s="32">
        <f t="shared" si="17"/>
        <v>5406395.3125148863</v>
      </c>
      <c r="Y25" s="32">
        <f t="shared" si="17"/>
        <v>7511521.7754437681</v>
      </c>
      <c r="Z25" s="32">
        <f t="shared" si="17"/>
        <v>10534965.232518584</v>
      </c>
      <c r="AA25" s="32">
        <f t="shared" si="17"/>
        <v>11542772.402018975</v>
      </c>
      <c r="AB25" s="32">
        <f t="shared" si="17"/>
        <v>9826783.2455407139</v>
      </c>
      <c r="AC25" s="39">
        <f t="shared" si="17"/>
        <v>8574849.5651394445</v>
      </c>
      <c r="AD25" s="32">
        <f t="shared" si="17"/>
        <v>6011582.3348730411</v>
      </c>
      <c r="AE25" s="32">
        <f t="shared" si="17"/>
        <v>4252889.8414390469</v>
      </c>
      <c r="AF25" s="32">
        <f t="shared" si="17"/>
        <v>3705506.0717632985</v>
      </c>
      <c r="AG25" s="42">
        <f>SUM(U25:AF25)</f>
        <v>78040609.536901817</v>
      </c>
      <c r="AH25" s="43"/>
      <c r="AI25" s="43"/>
      <c r="AJ25" s="2" t="s">
        <v>129</v>
      </c>
      <c r="AK25" s="32">
        <f t="shared" ref="AK25:AV25" si="18">SUM(AK21:AK22)</f>
        <v>3755069.3060901207</v>
      </c>
      <c r="AL25" s="32">
        <f t="shared" si="18"/>
        <v>3829491.8209119113</v>
      </c>
      <c r="AM25" s="32">
        <f t="shared" si="18"/>
        <v>4038390.9400816252</v>
      </c>
      <c r="AN25" s="32">
        <f t="shared" si="18"/>
        <v>5894929.9949872587</v>
      </c>
      <c r="AO25" s="32">
        <f t="shared" si="18"/>
        <v>8353837.6994770095</v>
      </c>
      <c r="AP25" s="32">
        <f t="shared" si="18"/>
        <v>11540998.690312706</v>
      </c>
      <c r="AQ25" s="32">
        <f t="shared" si="18"/>
        <v>12605813.647021828</v>
      </c>
      <c r="AR25" s="32">
        <f t="shared" si="18"/>
        <v>10607438.057093518</v>
      </c>
      <c r="AS25" s="39">
        <f t="shared" si="18"/>
        <v>9241230.0913793016</v>
      </c>
      <c r="AT25" s="32">
        <f t="shared" si="18"/>
        <v>6373086.4544262243</v>
      </c>
      <c r="AU25" s="32">
        <f t="shared" si="18"/>
        <v>4667849.863247646</v>
      </c>
      <c r="AV25" s="32">
        <f t="shared" si="18"/>
        <v>4020711.4958001841</v>
      </c>
      <c r="AW25" s="42">
        <f>SUM(AK25:AV25)</f>
        <v>84928848.060829341</v>
      </c>
    </row>
    <row r="26" spans="1:50">
      <c r="A26" s="43"/>
      <c r="B26" s="43"/>
      <c r="C26" s="191" t="s">
        <v>440</v>
      </c>
      <c r="D26" s="192"/>
      <c r="E26" s="192"/>
      <c r="F26" s="192"/>
      <c r="G26" s="192"/>
      <c r="H26" s="192"/>
      <c r="I26" s="42"/>
      <c r="J26" s="42"/>
      <c r="K26" s="42"/>
      <c r="L26" s="42"/>
      <c r="M26" s="192"/>
      <c r="N26" s="192"/>
      <c r="O26" s="192"/>
      <c r="P26" s="42">
        <f t="shared" si="12"/>
        <v>0</v>
      </c>
      <c r="Q26" s="140"/>
      <c r="R26" s="140"/>
      <c r="S26" s="43"/>
      <c r="T26" s="2"/>
      <c r="U26" s="32"/>
      <c r="V26" s="32"/>
      <c r="W26" s="32"/>
      <c r="X26" s="32"/>
      <c r="Y26" s="39"/>
      <c r="Z26" s="39"/>
      <c r="AA26" s="39"/>
      <c r="AB26" s="39"/>
      <c r="AC26" s="39"/>
      <c r="AD26" s="32"/>
      <c r="AE26" s="32"/>
      <c r="AF26" s="32"/>
      <c r="AG26" s="197">
        <f>SUM(U26:AF26)</f>
        <v>0</v>
      </c>
      <c r="AH26" s="43"/>
      <c r="AI26" s="43"/>
      <c r="AJ26" s="2"/>
      <c r="AK26" s="32"/>
      <c r="AL26" s="32"/>
      <c r="AM26" s="32"/>
      <c r="AN26" s="32"/>
      <c r="AO26" s="32"/>
      <c r="AP26" s="32"/>
      <c r="AQ26" s="32"/>
      <c r="AR26" s="32"/>
      <c r="AS26" s="39"/>
      <c r="AT26" s="32"/>
      <c r="AU26" s="32"/>
      <c r="AV26" s="32"/>
      <c r="AW26" s="197"/>
    </row>
    <row r="27" spans="1:50">
      <c r="A27" s="43"/>
      <c r="B27" s="43"/>
      <c r="C27" s="2" t="s">
        <v>363</v>
      </c>
      <c r="D27" s="32">
        <f>D25</f>
        <v>3660619.3480296177</v>
      </c>
      <c r="E27" s="32">
        <f t="shared" ref="E27:O27" si="19">D27+E25</f>
        <v>7606063.3871358708</v>
      </c>
      <c r="F27" s="32">
        <f t="shared" si="19"/>
        <v>11499444.394004051</v>
      </c>
      <c r="G27" s="32">
        <f t="shared" si="19"/>
        <v>16976096.703004144</v>
      </c>
      <c r="H27" s="32">
        <f t="shared" si="19"/>
        <v>23890475.293004144</v>
      </c>
      <c r="I27" s="32">
        <f t="shared" si="19"/>
        <v>33370334.256291136</v>
      </c>
      <c r="J27" s="32">
        <f t="shared" si="19"/>
        <v>44371751.814223379</v>
      </c>
      <c r="K27" s="32">
        <f t="shared" si="19"/>
        <v>53482490.58109577</v>
      </c>
      <c r="L27" s="39">
        <f t="shared" si="19"/>
        <v>59397990.755228154</v>
      </c>
      <c r="M27" s="32">
        <f t="shared" si="19"/>
        <v>63717653.833824806</v>
      </c>
      <c r="N27" s="32">
        <f t="shared" si="19"/>
        <v>66563084.842827663</v>
      </c>
      <c r="O27" s="32">
        <f t="shared" si="19"/>
        <v>69454091.107059866</v>
      </c>
      <c r="P27" s="43"/>
      <c r="Q27" s="43"/>
      <c r="R27" s="43"/>
      <c r="S27" s="43"/>
      <c r="T27" s="2" t="s">
        <v>363</v>
      </c>
      <c r="U27" s="32">
        <f>U25</f>
        <v>3346579.5281896871</v>
      </c>
      <c r="V27" s="32">
        <f t="shared" ref="V27:AF27" si="20">U27+V25</f>
        <v>6888566.2703997251</v>
      </c>
      <c r="W27" s="32">
        <f t="shared" si="20"/>
        <v>10673343.755650062</v>
      </c>
      <c r="X27" s="32">
        <f t="shared" si="20"/>
        <v>16079739.068164948</v>
      </c>
      <c r="Y27" s="32">
        <f t="shared" si="20"/>
        <v>23591260.843608715</v>
      </c>
      <c r="Z27" s="32">
        <f t="shared" si="20"/>
        <v>34126226.076127298</v>
      </c>
      <c r="AA27" s="32">
        <f t="shared" si="20"/>
        <v>45668998.47814627</v>
      </c>
      <c r="AB27" s="32">
        <f t="shared" si="20"/>
        <v>55495781.723686986</v>
      </c>
      <c r="AC27" s="39">
        <f t="shared" si="20"/>
        <v>64070631.288826428</v>
      </c>
      <c r="AD27" s="32">
        <f t="shared" si="20"/>
        <v>70082213.623699471</v>
      </c>
      <c r="AE27" s="32">
        <f t="shared" si="20"/>
        <v>74335103.465138525</v>
      </c>
      <c r="AF27" s="32">
        <f t="shared" si="20"/>
        <v>78040609.536901817</v>
      </c>
      <c r="AG27" s="43"/>
      <c r="AH27" s="43"/>
      <c r="AI27" s="43"/>
      <c r="AJ27" s="2" t="s">
        <v>363</v>
      </c>
      <c r="AK27" s="32">
        <f>AK25</f>
        <v>3755069.3060901207</v>
      </c>
      <c r="AL27" s="32">
        <f t="shared" ref="AL27:AV27" si="21">AK27+AL25</f>
        <v>7584561.1270020325</v>
      </c>
      <c r="AM27" s="32">
        <f t="shared" si="21"/>
        <v>11622952.067083657</v>
      </c>
      <c r="AN27" s="32">
        <f t="shared" si="21"/>
        <v>17517882.062070914</v>
      </c>
      <c r="AO27" s="32">
        <f t="shared" si="21"/>
        <v>25871719.761547923</v>
      </c>
      <c r="AP27" s="32">
        <f t="shared" si="21"/>
        <v>37412718.451860629</v>
      </c>
      <c r="AQ27" s="32">
        <f t="shared" si="21"/>
        <v>50018532.098882459</v>
      </c>
      <c r="AR27" s="32">
        <f t="shared" si="21"/>
        <v>60625970.155975975</v>
      </c>
      <c r="AS27" s="39">
        <f t="shared" si="21"/>
        <v>69867200.247355282</v>
      </c>
      <c r="AT27" s="32">
        <f t="shared" si="21"/>
        <v>76240286.701781511</v>
      </c>
      <c r="AU27" s="32">
        <f t="shared" si="21"/>
        <v>80908136.565029159</v>
      </c>
      <c r="AV27" s="32">
        <f t="shared" si="21"/>
        <v>84928848.060829341</v>
      </c>
      <c r="AW27" s="43"/>
    </row>
    <row r="28" spans="1:50" s="37" customFormat="1">
      <c r="A28" s="197"/>
      <c r="B28" s="197"/>
      <c r="C28" s="191" t="s">
        <v>315</v>
      </c>
      <c r="D28" s="203">
        <f t="shared" ref="D28:P28" si="22">D25/D14</f>
        <v>8.0593564702592193</v>
      </c>
      <c r="E28" s="203">
        <f t="shared" si="22"/>
        <v>7.6361506734370499</v>
      </c>
      <c r="F28" s="203">
        <f t="shared" si="22"/>
        <v>6.8719622728034073</v>
      </c>
      <c r="G28" s="203">
        <f t="shared" si="22"/>
        <v>6.591908263747106</v>
      </c>
      <c r="H28" s="203">
        <f t="shared" si="22"/>
        <v>5.0381087870255037</v>
      </c>
      <c r="I28" s="203">
        <f t="shared" si="22"/>
        <v>4.9990328537777957</v>
      </c>
      <c r="J28" s="203">
        <f t="shared" si="22"/>
        <v>5.162973148599165</v>
      </c>
      <c r="K28" s="203">
        <f t="shared" si="22"/>
        <v>4.7509775826652021</v>
      </c>
      <c r="L28" s="203">
        <f t="shared" si="22"/>
        <v>5.3511342397250043</v>
      </c>
      <c r="M28" s="203">
        <f t="shared" si="22"/>
        <v>5.1697523382945922</v>
      </c>
      <c r="N28" s="203">
        <f t="shared" si="22"/>
        <v>4.5897239130701735</v>
      </c>
      <c r="O28" s="203">
        <f t="shared" si="22"/>
        <v>5.6558353661146707</v>
      </c>
      <c r="P28" s="136">
        <f t="shared" si="22"/>
        <v>5.4441156591158339</v>
      </c>
      <c r="Q28" s="195"/>
      <c r="R28" s="197"/>
      <c r="S28" s="197"/>
      <c r="T28" s="170" t="s">
        <v>315</v>
      </c>
      <c r="U28" s="17">
        <f t="shared" ref="U28:AG28" si="23">U25/U14</f>
        <v>6.7767296868779532</v>
      </c>
      <c r="V28" s="17">
        <f t="shared" si="23"/>
        <v>6.9705761515860729</v>
      </c>
      <c r="W28" s="17">
        <f t="shared" si="23"/>
        <v>6.6812907304666007</v>
      </c>
      <c r="X28" s="17">
        <f t="shared" si="23"/>
        <v>5.6695176255150388</v>
      </c>
      <c r="Y28" s="17">
        <f t="shared" si="23"/>
        <v>5.0898034659511451</v>
      </c>
      <c r="Z28" s="17">
        <f t="shared" si="23"/>
        <v>4.836681787764042</v>
      </c>
      <c r="AA28" s="17">
        <f t="shared" si="23"/>
        <v>4.8475864910051305</v>
      </c>
      <c r="AB28" s="17">
        <f t="shared" si="23"/>
        <v>5.0319261921149119</v>
      </c>
      <c r="AC28" s="17">
        <f t="shared" si="23"/>
        <v>5.2844107856497198</v>
      </c>
      <c r="AD28" s="17">
        <f t="shared" si="23"/>
        <v>5.7361332177563797</v>
      </c>
      <c r="AE28" s="17">
        <f t="shared" si="23"/>
        <v>6.4338292962982164</v>
      </c>
      <c r="AF28" s="17">
        <f t="shared" si="23"/>
        <v>7.1313903287368259</v>
      </c>
      <c r="AG28" s="195">
        <f t="shared" si="23"/>
        <v>5.4340878655970482</v>
      </c>
      <c r="AH28" s="197"/>
      <c r="AI28" s="197"/>
      <c r="AJ28" s="170" t="s">
        <v>315</v>
      </c>
      <c r="AK28" s="17">
        <f t="shared" ref="AK28:AW28" si="24">AK25/AK14</f>
        <v>7.3738984641564862</v>
      </c>
      <c r="AL28" s="17">
        <f t="shared" si="24"/>
        <v>7.3048726359247356</v>
      </c>
      <c r="AM28" s="17">
        <f t="shared" si="24"/>
        <v>7.0406354928423207</v>
      </c>
      <c r="AN28" s="17">
        <f t="shared" si="24"/>
        <v>6.0404059231594465</v>
      </c>
      <c r="AO28" s="17">
        <f t="shared" si="24"/>
        <v>5.5630090266982402</v>
      </c>
      <c r="AP28" s="17">
        <f t="shared" si="24"/>
        <v>5.1971491961891196</v>
      </c>
      <c r="AQ28" s="17">
        <f t="shared" si="24"/>
        <v>5.197862555457192</v>
      </c>
      <c r="AR28" s="17">
        <f t="shared" si="24"/>
        <v>5.3544450328712943</v>
      </c>
      <c r="AS28" s="17">
        <f t="shared" si="24"/>
        <v>5.601700345212965</v>
      </c>
      <c r="AT28" s="17">
        <f t="shared" si="24"/>
        <v>5.9660134263214584</v>
      </c>
      <c r="AU28" s="17">
        <f t="shared" si="24"/>
        <v>6.8675179101118422</v>
      </c>
      <c r="AV28" s="17">
        <f t="shared" si="24"/>
        <v>7.5687507244811574</v>
      </c>
      <c r="AW28" s="195">
        <f t="shared" si="24"/>
        <v>5.8009875323679818</v>
      </c>
      <c r="AX28" s="24"/>
    </row>
    <row r="29" spans="1:50">
      <c r="A29" s="43"/>
      <c r="B29" s="43"/>
      <c r="C29" s="2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43"/>
      <c r="Q29" s="43"/>
      <c r="R29" s="43"/>
      <c r="S29" s="43"/>
      <c r="T29" s="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43"/>
      <c r="AH29" s="43"/>
      <c r="AI29" s="43"/>
      <c r="AJ29" s="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43"/>
    </row>
    <row r="30" spans="1:50" s="37" customFormat="1">
      <c r="A30" s="197"/>
      <c r="B30" s="197"/>
      <c r="C30" s="191" t="s">
        <v>310</v>
      </c>
      <c r="D30" s="192">
        <f t="shared" ref="D30:O30" si="25">SUM(D79,D84,D60,D72)</f>
        <v>2844064.1704188483</v>
      </c>
      <c r="E30" s="192">
        <f t="shared" si="25"/>
        <v>3214262.3339232113</v>
      </c>
      <c r="F30" s="192">
        <f t="shared" si="25"/>
        <v>3407988.3256893544</v>
      </c>
      <c r="G30" s="192">
        <f t="shared" si="25"/>
        <v>5028833.9936055858</v>
      </c>
      <c r="H30" s="192">
        <f t="shared" si="25"/>
        <v>8305682.5660453746</v>
      </c>
      <c r="I30" s="192">
        <f t="shared" si="25"/>
        <v>10782784.525267016</v>
      </c>
      <c r="J30" s="192">
        <f t="shared" si="25"/>
        <v>12031324.692746945</v>
      </c>
      <c r="K30" s="192">
        <f t="shared" si="25"/>
        <v>10669145.592055848</v>
      </c>
      <c r="L30" s="192">
        <f t="shared" si="25"/>
        <v>5137139.6484816754</v>
      </c>
      <c r="M30" s="192">
        <f t="shared" si="25"/>
        <v>3646304.5797696337</v>
      </c>
      <c r="N30" s="192">
        <f t="shared" si="25"/>
        <v>2602162.3457068065</v>
      </c>
      <c r="O30" s="192">
        <f t="shared" si="25"/>
        <v>2267762.1962582893</v>
      </c>
      <c r="P30" s="42">
        <f>SUM(D30:O30)</f>
        <v>69937454.969968587</v>
      </c>
      <c r="Q30" s="195">
        <f>P30/P14</f>
        <v>5.4820038343574593</v>
      </c>
      <c r="R30" s="197"/>
      <c r="S30" s="197"/>
      <c r="T30" s="170" t="s">
        <v>310</v>
      </c>
      <c r="U30" s="39">
        <f t="shared" ref="U30:AF30" si="26">SUM(U79,U84,U60,U72)</f>
        <v>2285715.2284816755</v>
      </c>
      <c r="V30" s="39">
        <f t="shared" si="26"/>
        <v>2412819.1223734729</v>
      </c>
      <c r="W30" s="39">
        <f t="shared" si="26"/>
        <v>2676758.952670157</v>
      </c>
      <c r="X30" s="39">
        <f t="shared" si="26"/>
        <v>4537884.892565446</v>
      </c>
      <c r="Y30" s="39">
        <f t="shared" si="26"/>
        <v>7065530.6966143111</v>
      </c>
      <c r="Z30" s="39">
        <f t="shared" si="26"/>
        <v>10498871.998638744</v>
      </c>
      <c r="AA30" s="39">
        <f t="shared" si="26"/>
        <v>11535885.035253055</v>
      </c>
      <c r="AB30" s="39">
        <f t="shared" si="26"/>
        <v>9515286.8440837692</v>
      </c>
      <c r="AC30" s="39">
        <f t="shared" si="26"/>
        <v>7911702.8904363001</v>
      </c>
      <c r="AD30" s="39">
        <f t="shared" si="26"/>
        <v>5104285.0094240839</v>
      </c>
      <c r="AE30" s="39">
        <f t="shared" si="26"/>
        <v>3274513.6461431067</v>
      </c>
      <c r="AF30" s="39">
        <f t="shared" si="26"/>
        <v>2589399.5757417101</v>
      </c>
      <c r="AG30" s="197">
        <f>SUM(U30:AF30)</f>
        <v>69408653.892425835</v>
      </c>
      <c r="AH30" s="197"/>
      <c r="AI30" s="197"/>
      <c r="AJ30" s="170" t="s">
        <v>310</v>
      </c>
      <c r="AK30" s="39">
        <f t="shared" ref="AK30:AV30" si="27">SUM(AK79,AK84,AK60,AK72)</f>
        <v>2560616.2672251309</v>
      </c>
      <c r="AL30" s="39">
        <f t="shared" si="27"/>
        <v>2628258.2916579405</v>
      </c>
      <c r="AM30" s="39">
        <f t="shared" si="27"/>
        <v>2868010.5486561954</v>
      </c>
      <c r="AN30" s="39">
        <f t="shared" si="27"/>
        <v>4820281.4436998256</v>
      </c>
      <c r="AO30" s="39">
        <f t="shared" si="27"/>
        <v>7398660.5948691107</v>
      </c>
      <c r="AP30" s="39">
        <f t="shared" si="27"/>
        <v>10958013.976387436</v>
      </c>
      <c r="AQ30" s="39">
        <f t="shared" si="27"/>
        <v>12009491.347643981</v>
      </c>
      <c r="AR30" s="39">
        <f t="shared" si="27"/>
        <v>9854950.2579581141</v>
      </c>
      <c r="AS30" s="39">
        <f t="shared" si="27"/>
        <v>8212444.6973298425</v>
      </c>
      <c r="AT30" s="39">
        <f t="shared" si="27"/>
        <v>5319397.3766143108</v>
      </c>
      <c r="AU30" s="39">
        <f t="shared" si="27"/>
        <v>3454621.0354973823</v>
      </c>
      <c r="AV30" s="39">
        <f t="shared" si="27"/>
        <v>2736494.5737347296</v>
      </c>
      <c r="AW30" s="197">
        <f>SUM(AK30:AV30)</f>
        <v>72821240.411273986</v>
      </c>
      <c r="AX30" s="24"/>
    </row>
    <row r="31" spans="1:50" s="37" customFormat="1">
      <c r="A31" s="197"/>
      <c r="B31" s="197"/>
      <c r="C31" s="191" t="s">
        <v>616</v>
      </c>
      <c r="D31" s="192">
        <f>D30</f>
        <v>2844064.1704188483</v>
      </c>
      <c r="E31" s="192">
        <f>D31+E30</f>
        <v>6058326.5043420596</v>
      </c>
      <c r="F31" s="192">
        <f t="shared" ref="F31:O31" si="28">E31+F30</f>
        <v>9466314.8300314136</v>
      </c>
      <c r="G31" s="192">
        <f t="shared" si="28"/>
        <v>14495148.823636999</v>
      </c>
      <c r="H31" s="192">
        <f t="shared" si="28"/>
        <v>22800831.389682375</v>
      </c>
      <c r="I31" s="192">
        <f t="shared" si="28"/>
        <v>33583615.914949387</v>
      </c>
      <c r="J31" s="192">
        <f t="shared" si="28"/>
        <v>45614940.607696332</v>
      </c>
      <c r="K31" s="192">
        <f t="shared" si="28"/>
        <v>56284086.199752182</v>
      </c>
      <c r="L31" s="192">
        <f t="shared" si="28"/>
        <v>61421225.848233856</v>
      </c>
      <c r="M31" s="192">
        <f t="shared" si="28"/>
        <v>65067530.42800349</v>
      </c>
      <c r="N31" s="192">
        <f t="shared" si="28"/>
        <v>67669692.773710296</v>
      </c>
      <c r="O31" s="192">
        <f t="shared" si="28"/>
        <v>69937454.969968587</v>
      </c>
      <c r="P31" s="42"/>
      <c r="Q31" s="197"/>
      <c r="R31" s="197"/>
      <c r="S31" s="197"/>
      <c r="T31" s="170" t="s">
        <v>311</v>
      </c>
      <c r="U31" s="39">
        <f>U30</f>
        <v>2285715.2284816755</v>
      </c>
      <c r="V31" s="39">
        <f t="shared" ref="V31:AF31" si="29">U31+V30</f>
        <v>4698534.3508551484</v>
      </c>
      <c r="W31" s="39">
        <f t="shared" si="29"/>
        <v>7375293.3035253054</v>
      </c>
      <c r="X31" s="39">
        <f t="shared" si="29"/>
        <v>11913178.19609075</v>
      </c>
      <c r="Y31" s="39">
        <f t="shared" si="29"/>
        <v>18978708.892705061</v>
      </c>
      <c r="Z31" s="39">
        <f t="shared" si="29"/>
        <v>29477580.891343802</v>
      </c>
      <c r="AA31" s="39">
        <f t="shared" si="29"/>
        <v>41013465.926596858</v>
      </c>
      <c r="AB31" s="39">
        <f t="shared" si="29"/>
        <v>50528752.770680629</v>
      </c>
      <c r="AC31" s="39">
        <f t="shared" si="29"/>
        <v>58440455.661116928</v>
      </c>
      <c r="AD31" s="39">
        <f t="shared" si="29"/>
        <v>63544740.670541011</v>
      </c>
      <c r="AE31" s="39">
        <f t="shared" si="29"/>
        <v>66819254.316684119</v>
      </c>
      <c r="AF31" s="39">
        <f t="shared" si="29"/>
        <v>69408653.892425835</v>
      </c>
      <c r="AG31" s="197"/>
      <c r="AH31" s="197"/>
      <c r="AI31" s="197"/>
      <c r="AJ31" s="170" t="s">
        <v>311</v>
      </c>
      <c r="AK31" s="39">
        <f>AK30</f>
        <v>2560616.2672251309</v>
      </c>
      <c r="AL31" s="39">
        <f t="shared" ref="AL31:AV31" si="30">AK31+AL30</f>
        <v>5188874.5588830709</v>
      </c>
      <c r="AM31" s="39">
        <f t="shared" si="30"/>
        <v>8056885.1075392663</v>
      </c>
      <c r="AN31" s="39">
        <f t="shared" si="30"/>
        <v>12877166.551239092</v>
      </c>
      <c r="AO31" s="39">
        <f t="shared" si="30"/>
        <v>20275827.146108203</v>
      </c>
      <c r="AP31" s="39">
        <f t="shared" si="30"/>
        <v>31233841.122495636</v>
      </c>
      <c r="AQ31" s="39">
        <f t="shared" si="30"/>
        <v>43243332.470139615</v>
      </c>
      <c r="AR31" s="39">
        <f t="shared" si="30"/>
        <v>53098282.728097729</v>
      </c>
      <c r="AS31" s="39">
        <f t="shared" si="30"/>
        <v>61310727.425427571</v>
      </c>
      <c r="AT31" s="39">
        <f t="shared" si="30"/>
        <v>66630124.802041881</v>
      </c>
      <c r="AU31" s="39">
        <f t="shared" si="30"/>
        <v>70084745.837539256</v>
      </c>
      <c r="AV31" s="39">
        <f t="shared" si="30"/>
        <v>72821240.411273986</v>
      </c>
      <c r="AW31" s="197"/>
      <c r="AX31" s="24"/>
    </row>
    <row r="32" spans="1:50" s="37" customFormat="1">
      <c r="A32" s="197"/>
      <c r="B32" s="197"/>
      <c r="C32" s="191" t="s">
        <v>312</v>
      </c>
      <c r="D32" s="198">
        <f t="shared" ref="D32:O32" si="31">D30-D25</f>
        <v>-816555.1776107694</v>
      </c>
      <c r="E32" s="198">
        <f t="shared" si="31"/>
        <v>-731181.70518304221</v>
      </c>
      <c r="F32" s="198">
        <f t="shared" si="31"/>
        <v>-485392.68117882637</v>
      </c>
      <c r="G32" s="198">
        <f t="shared" si="31"/>
        <v>-447818.31539450865</v>
      </c>
      <c r="H32" s="198">
        <f t="shared" si="31"/>
        <v>1391303.9760453748</v>
      </c>
      <c r="I32" s="198">
        <f t="shared" si="31"/>
        <v>1302925.561980024</v>
      </c>
      <c r="J32" s="198">
        <f t="shared" si="31"/>
        <v>1029907.134814702</v>
      </c>
      <c r="K32" s="198">
        <f t="shared" si="31"/>
        <v>1558406.8251834605</v>
      </c>
      <c r="L32" s="198">
        <f t="shared" si="31"/>
        <v>-778360.5256507108</v>
      </c>
      <c r="M32" s="198">
        <f t="shared" si="31"/>
        <v>-673358.49882701971</v>
      </c>
      <c r="N32" s="198">
        <f t="shared" si="31"/>
        <v>-243268.6632960476</v>
      </c>
      <c r="O32" s="198">
        <f t="shared" si="31"/>
        <v>-623244.0679739085</v>
      </c>
      <c r="P32" s="172">
        <f>SUM(D32:O32)</f>
        <v>483363.86290872796</v>
      </c>
      <c r="Q32" s="197"/>
      <c r="R32" s="197"/>
      <c r="S32" s="197"/>
      <c r="T32" s="170" t="s">
        <v>312</v>
      </c>
      <c r="U32" s="66">
        <f>U30-U25</f>
        <v>-1060864.2997080116</v>
      </c>
      <c r="V32" s="66">
        <f t="shared" ref="V32:AF32" si="32">V30-V25</f>
        <v>-1129167.6198365646</v>
      </c>
      <c r="W32" s="66">
        <f t="shared" si="32"/>
        <v>-1108018.5325801801</v>
      </c>
      <c r="X32" s="66">
        <f t="shared" si="32"/>
        <v>-868510.41994944029</v>
      </c>
      <c r="Y32" s="66">
        <f t="shared" si="32"/>
        <v>-445991.07882945705</v>
      </c>
      <c r="Z32" s="66">
        <f t="shared" si="32"/>
        <v>-36093.233879840001</v>
      </c>
      <c r="AA32" s="66">
        <f t="shared" si="32"/>
        <v>-6887.3667659200728</v>
      </c>
      <c r="AB32" s="66">
        <f t="shared" si="32"/>
        <v>-311496.40145694464</v>
      </c>
      <c r="AC32" s="66">
        <f t="shared" si="32"/>
        <v>-663146.67470314447</v>
      </c>
      <c r="AD32" s="66">
        <f t="shared" si="32"/>
        <v>-907297.32544895727</v>
      </c>
      <c r="AE32" s="66">
        <f t="shared" si="32"/>
        <v>-978376.19529594015</v>
      </c>
      <c r="AF32" s="66">
        <f t="shared" si="32"/>
        <v>-1116106.4960215883</v>
      </c>
      <c r="AG32" s="197">
        <f>SUM(U32:AF32)</f>
        <v>-8631955.644475989</v>
      </c>
      <c r="AH32" s="197"/>
      <c r="AI32" s="197"/>
      <c r="AJ32" s="170" t="s">
        <v>312</v>
      </c>
      <c r="AK32" s="66">
        <f>AK30-AK25</f>
        <v>-1194453.0388649898</v>
      </c>
      <c r="AL32" s="66">
        <f t="shared" ref="AL32:AV32" si="33">AL30-AL25</f>
        <v>-1201233.5292539708</v>
      </c>
      <c r="AM32" s="66">
        <f t="shared" si="33"/>
        <v>-1170380.3914254298</v>
      </c>
      <c r="AN32" s="66">
        <f t="shared" si="33"/>
        <v>-1074648.5512874331</v>
      </c>
      <c r="AO32" s="66">
        <f t="shared" si="33"/>
        <v>-955177.10460789874</v>
      </c>
      <c r="AP32" s="66">
        <f t="shared" si="33"/>
        <v>-582984.71392527036</v>
      </c>
      <c r="AQ32" s="66">
        <f t="shared" si="33"/>
        <v>-596322.29937784746</v>
      </c>
      <c r="AR32" s="66">
        <f t="shared" si="33"/>
        <v>-752487.79913540371</v>
      </c>
      <c r="AS32" s="66">
        <f t="shared" si="33"/>
        <v>-1028785.3940494591</v>
      </c>
      <c r="AT32" s="66">
        <f t="shared" si="33"/>
        <v>-1053689.0778119136</v>
      </c>
      <c r="AU32" s="66">
        <f t="shared" si="33"/>
        <v>-1213228.8277502637</v>
      </c>
      <c r="AV32" s="66">
        <f t="shared" si="33"/>
        <v>-1284216.9220654545</v>
      </c>
      <c r="AW32" s="197"/>
      <c r="AX32" s="24"/>
    </row>
    <row r="33" spans="1:50" s="37" customFormat="1">
      <c r="A33" s="197"/>
      <c r="B33" s="197"/>
      <c r="C33" s="191" t="s">
        <v>617</v>
      </c>
      <c r="D33" s="198">
        <f t="shared" ref="D33:O33" si="34">D31-D27</f>
        <v>-816555.1776107694</v>
      </c>
      <c r="E33" s="198">
        <f t="shared" si="34"/>
        <v>-1547736.8827938111</v>
      </c>
      <c r="F33" s="198">
        <f t="shared" si="34"/>
        <v>-2033129.5639726371</v>
      </c>
      <c r="G33" s="198">
        <f t="shared" si="34"/>
        <v>-2480947.8793671448</v>
      </c>
      <c r="H33" s="198">
        <f t="shared" si="34"/>
        <v>-1089643.9033217691</v>
      </c>
      <c r="I33" s="198">
        <f t="shared" si="34"/>
        <v>213281.65865825117</v>
      </c>
      <c r="J33" s="198">
        <f t="shared" si="34"/>
        <v>1243188.7934729531</v>
      </c>
      <c r="K33" s="198">
        <f t="shared" si="34"/>
        <v>2801595.6186564118</v>
      </c>
      <c r="L33" s="198">
        <f t="shared" si="34"/>
        <v>2023235.0930057019</v>
      </c>
      <c r="M33" s="198">
        <f t="shared" si="34"/>
        <v>1349876.5941786841</v>
      </c>
      <c r="N33" s="198">
        <f t="shared" si="34"/>
        <v>1106607.9308826327</v>
      </c>
      <c r="O33" s="198">
        <f t="shared" si="34"/>
        <v>483363.86290872097</v>
      </c>
      <c r="P33" s="42"/>
      <c r="Q33" s="197"/>
      <c r="R33" s="197"/>
      <c r="S33" s="197"/>
      <c r="T33" s="170" t="s">
        <v>313</v>
      </c>
      <c r="U33" s="66">
        <f>U31-U27</f>
        <v>-1060864.2997080116</v>
      </c>
      <c r="V33" s="66">
        <f t="shared" ref="V33:AF33" si="35">V31-V27</f>
        <v>-2190031.9195445767</v>
      </c>
      <c r="W33" s="66">
        <f t="shared" si="35"/>
        <v>-3298050.4521247568</v>
      </c>
      <c r="X33" s="66">
        <f t="shared" si="35"/>
        <v>-4166560.872074198</v>
      </c>
      <c r="Y33" s="66">
        <f t="shared" si="35"/>
        <v>-4612551.9509036541</v>
      </c>
      <c r="Z33" s="66">
        <f t="shared" si="35"/>
        <v>-4648645.184783496</v>
      </c>
      <c r="AA33" s="66">
        <f t="shared" si="35"/>
        <v>-4655532.5515494123</v>
      </c>
      <c r="AB33" s="66">
        <f t="shared" si="35"/>
        <v>-4967028.953006357</v>
      </c>
      <c r="AC33" s="66">
        <f t="shared" si="35"/>
        <v>-5630175.6277095005</v>
      </c>
      <c r="AD33" s="66">
        <f t="shared" si="35"/>
        <v>-6537472.9531584606</v>
      </c>
      <c r="AE33" s="66">
        <f t="shared" si="35"/>
        <v>-7515849.1484544054</v>
      </c>
      <c r="AF33" s="66">
        <f t="shared" si="35"/>
        <v>-8631955.6444759816</v>
      </c>
      <c r="AG33" s="197"/>
      <c r="AH33" s="197"/>
      <c r="AI33" s="197"/>
      <c r="AJ33" s="170" t="s">
        <v>313</v>
      </c>
      <c r="AK33" s="66">
        <f>AK31-AK27</f>
        <v>-1194453.0388649898</v>
      </c>
      <c r="AL33" s="66">
        <f t="shared" ref="AL33:AV33" si="36">AL31-AL27</f>
        <v>-2395686.5681189615</v>
      </c>
      <c r="AM33" s="66">
        <f t="shared" si="36"/>
        <v>-3566066.9595443904</v>
      </c>
      <c r="AN33" s="66">
        <f t="shared" si="36"/>
        <v>-4640715.5108318217</v>
      </c>
      <c r="AO33" s="66">
        <f t="shared" si="36"/>
        <v>-5595892.6154397205</v>
      </c>
      <c r="AP33" s="66">
        <f t="shared" si="36"/>
        <v>-6178877.3293649927</v>
      </c>
      <c r="AQ33" s="66">
        <f t="shared" si="36"/>
        <v>-6775199.6287428439</v>
      </c>
      <c r="AR33" s="66">
        <f t="shared" si="36"/>
        <v>-7527687.4278782457</v>
      </c>
      <c r="AS33" s="66">
        <f t="shared" si="36"/>
        <v>-8556472.8219277114</v>
      </c>
      <c r="AT33" s="66">
        <f t="shared" si="36"/>
        <v>-9610161.8997396305</v>
      </c>
      <c r="AU33" s="66">
        <f t="shared" si="36"/>
        <v>-10823390.727489904</v>
      </c>
      <c r="AV33" s="66">
        <f t="shared" si="36"/>
        <v>-12107607.649555355</v>
      </c>
      <c r="AW33" s="197"/>
      <c r="AX33" s="24"/>
    </row>
    <row r="34" spans="1:50">
      <c r="A34" s="43"/>
      <c r="B34" s="43"/>
      <c r="C34" s="2"/>
      <c r="D34" s="32"/>
      <c r="E34" s="32"/>
      <c r="F34" s="32"/>
      <c r="G34" s="32"/>
      <c r="H34" s="32"/>
      <c r="I34" s="32"/>
      <c r="J34" s="32"/>
      <c r="K34" s="32"/>
      <c r="L34" s="39"/>
      <c r="M34" s="32"/>
      <c r="N34" s="32"/>
      <c r="O34" s="32"/>
      <c r="P34" s="43"/>
      <c r="Q34" s="43"/>
      <c r="R34" s="43"/>
      <c r="S34" s="43"/>
      <c r="T34" s="2"/>
      <c r="U34" s="32"/>
      <c r="V34" s="32"/>
      <c r="W34" s="32"/>
      <c r="X34" s="32"/>
      <c r="Y34" s="32"/>
      <c r="Z34" s="32"/>
      <c r="AA34" s="32"/>
      <c r="AB34" s="32"/>
      <c r="AC34" s="39"/>
      <c r="AD34" s="32"/>
      <c r="AE34" s="32"/>
      <c r="AF34" s="32"/>
      <c r="AG34" s="43"/>
      <c r="AH34" s="43"/>
      <c r="AI34" s="43"/>
      <c r="AJ34" s="2"/>
      <c r="AK34" s="32"/>
      <c r="AL34" s="32"/>
      <c r="AM34" s="32"/>
      <c r="AN34" s="32"/>
      <c r="AO34" s="32"/>
      <c r="AP34" s="32"/>
      <c r="AQ34" s="32"/>
      <c r="AR34" s="32"/>
      <c r="AS34" s="39"/>
      <c r="AT34" s="32"/>
      <c r="AU34" s="32"/>
      <c r="AV34" s="32"/>
      <c r="AW34" s="43"/>
    </row>
    <row r="35" spans="1:50">
      <c r="A35" s="43"/>
      <c r="B35" s="454"/>
      <c r="C35" s="2" t="s">
        <v>199</v>
      </c>
      <c r="D35" s="32">
        <f t="shared" ref="D35:O35" si="37">D21-D70</f>
        <v>911919.02033876954</v>
      </c>
      <c r="E35" s="32">
        <f t="shared" si="37"/>
        <v>1100600.1551010422</v>
      </c>
      <c r="F35" s="32">
        <f t="shared" si="37"/>
        <v>1076730.7394908264</v>
      </c>
      <c r="G35" s="32">
        <f t="shared" si="37"/>
        <v>2443663.3219065098</v>
      </c>
      <c r="H35" s="32">
        <f t="shared" si="37"/>
        <v>3734598.4671436241</v>
      </c>
      <c r="I35" s="32">
        <f t="shared" si="37"/>
        <v>6206899.8073999761</v>
      </c>
      <c r="J35" s="32">
        <f t="shared" si="37"/>
        <v>7764596.490696297</v>
      </c>
      <c r="K35" s="32">
        <f t="shared" si="37"/>
        <v>6083521.4279165417</v>
      </c>
      <c r="L35" s="39">
        <f t="shared" si="37"/>
        <v>3100101.6977507109</v>
      </c>
      <c r="M35" s="32">
        <f t="shared" si="37"/>
        <v>2019637.9034270202</v>
      </c>
      <c r="N35" s="32">
        <f t="shared" si="37"/>
        <v>649797.47189604794</v>
      </c>
      <c r="O35" s="32">
        <f t="shared" si="37"/>
        <v>638778.23857390834</v>
      </c>
      <c r="P35" s="43">
        <f>SUM(D35:O35)</f>
        <v>35730844.741641268</v>
      </c>
      <c r="Q35" s="43">
        <f>P37+P60</f>
        <v>19037017.785449997</v>
      </c>
      <c r="R35" s="43"/>
      <c r="S35" s="43"/>
      <c r="T35" s="2" t="s">
        <v>199</v>
      </c>
      <c r="U35" s="32">
        <f t="shared" ref="U35:AF35" si="38">U21-U70</f>
        <v>972292.83850801189</v>
      </c>
      <c r="V35" s="32">
        <f t="shared" si="38"/>
        <v>1040596.1586365645</v>
      </c>
      <c r="W35" s="32">
        <f t="shared" si="38"/>
        <v>1231341.1913801802</v>
      </c>
      <c r="X35" s="32">
        <f t="shared" si="38"/>
        <v>2627253.0487494413</v>
      </c>
      <c r="Y35" s="32">
        <f t="shared" si="38"/>
        <v>4432591.0476294579</v>
      </c>
      <c r="Z35" s="32">
        <f t="shared" si="38"/>
        <v>7013239.0226798402</v>
      </c>
      <c r="AA35" s="32">
        <f t="shared" si="38"/>
        <v>7869814.4155659219</v>
      </c>
      <c r="AB35" s="32">
        <f t="shared" si="38"/>
        <v>6483713.270256944</v>
      </c>
      <c r="AC35" s="39">
        <f t="shared" si="38"/>
        <v>5401504.6635031439</v>
      </c>
      <c r="AD35" s="32">
        <f t="shared" si="38"/>
        <v>3113666.0242489567</v>
      </c>
      <c r="AE35" s="32">
        <f t="shared" si="38"/>
        <v>1610110.3740959403</v>
      </c>
      <c r="AF35" s="32">
        <f t="shared" si="38"/>
        <v>1035018.094821588</v>
      </c>
      <c r="AG35" s="43">
        <f>SUM(U35:AF35)</f>
        <v>42831140.150075994</v>
      </c>
      <c r="AH35" s="43"/>
      <c r="AI35" s="43"/>
      <c r="AJ35" s="2" t="s">
        <v>199</v>
      </c>
      <c r="AK35" s="32">
        <f t="shared" ref="AK35:AV35" si="39">AK21-AK70</f>
        <v>1125101.57766499</v>
      </c>
      <c r="AL35" s="32">
        <f t="shared" si="39"/>
        <v>1131882.0680539708</v>
      </c>
      <c r="AM35" s="32">
        <f t="shared" si="39"/>
        <v>1315949.5502254295</v>
      </c>
      <c r="AN35" s="32">
        <f t="shared" si="39"/>
        <v>2881222.1800874332</v>
      </c>
      <c r="AO35" s="32">
        <f t="shared" si="39"/>
        <v>5022367.5734078987</v>
      </c>
      <c r="AP35" s="32">
        <f t="shared" si="39"/>
        <v>7683836.7527252715</v>
      </c>
      <c r="AQ35" s="32">
        <f t="shared" si="39"/>
        <v>8595718.3481778502</v>
      </c>
      <c r="AR35" s="32">
        <f t="shared" si="39"/>
        <v>7036733.4179354031</v>
      </c>
      <c r="AS35" s="39">
        <f t="shared" si="39"/>
        <v>5858592.1328494595</v>
      </c>
      <c r="AT35" s="32">
        <f t="shared" si="39"/>
        <v>3312317.776611913</v>
      </c>
      <c r="AU35" s="32">
        <f t="shared" si="39"/>
        <v>1874561.5065502636</v>
      </c>
      <c r="AV35" s="32">
        <f t="shared" si="39"/>
        <v>1222429.770865455</v>
      </c>
      <c r="AW35" s="43">
        <f>SUM(AK35:AV35)</f>
        <v>47060712.655155346</v>
      </c>
    </row>
    <row r="36" spans="1:50">
      <c r="A36" s="34"/>
      <c r="B36" s="34"/>
      <c r="C36" s="2" t="s">
        <v>225</v>
      </c>
      <c r="D36" s="16">
        <f t="shared" ref="D36:P36" si="40">D35/D12</f>
        <v>3.8413362817313059</v>
      </c>
      <c r="E36" s="16">
        <f t="shared" si="40"/>
        <v>3.9827278428716819</v>
      </c>
      <c r="F36" s="17">
        <f t="shared" si="40"/>
        <v>3.4646019923734803</v>
      </c>
      <c r="G36" s="17">
        <f t="shared" si="40"/>
        <v>4.4000271562770594</v>
      </c>
      <c r="H36" s="16">
        <f t="shared" si="40"/>
        <v>3.5853008051364541</v>
      </c>
      <c r="I36" s="17">
        <f t="shared" si="40"/>
        <v>4.0344246610219177</v>
      </c>
      <c r="J36" s="17">
        <f t="shared" si="40"/>
        <v>4.4147304044133326</v>
      </c>
      <c r="K36" s="17">
        <f t="shared" si="40"/>
        <v>3.8863900600224532</v>
      </c>
      <c r="L36" s="17">
        <f t="shared" si="40"/>
        <v>3.8487363371247243</v>
      </c>
      <c r="M36" s="16">
        <f t="shared" si="40"/>
        <v>3.5704380200086798</v>
      </c>
      <c r="N36" s="16">
        <f t="shared" si="40"/>
        <v>1.7460450418390023</v>
      </c>
      <c r="O36" s="16">
        <f t="shared" si="40"/>
        <v>2.2673894018080398</v>
      </c>
      <c r="P36" s="34">
        <f t="shared" si="40"/>
        <v>3.8382406141891927</v>
      </c>
      <c r="Q36" s="34"/>
      <c r="R36" s="34"/>
      <c r="S36" s="34"/>
      <c r="T36" s="2" t="s">
        <v>225</v>
      </c>
      <c r="U36" s="16">
        <f t="shared" ref="U36:AG36" si="41">U35/U12</f>
        <v>3.6158963699748297</v>
      </c>
      <c r="V36" s="16">
        <f t="shared" si="41"/>
        <v>3.8699121536239725</v>
      </c>
      <c r="W36" s="16">
        <f t="shared" si="41"/>
        <v>3.9474414183134257</v>
      </c>
      <c r="X36" s="16">
        <f t="shared" si="41"/>
        <v>3.8942459775430827</v>
      </c>
      <c r="Y36" s="16">
        <f t="shared" si="41"/>
        <v>3.8904286867073017</v>
      </c>
      <c r="Z36" s="16">
        <f t="shared" si="41"/>
        <v>4.0059650589163756</v>
      </c>
      <c r="AA36" s="16">
        <f t="shared" si="41"/>
        <v>4.0740397389063521</v>
      </c>
      <c r="AB36" s="16">
        <f t="shared" si="41"/>
        <v>4.0895175116272853</v>
      </c>
      <c r="AC36" s="17">
        <f t="shared" si="41"/>
        <v>4.1767580710787833</v>
      </c>
      <c r="AD36" s="16">
        <f t="shared" si="41"/>
        <v>4.2214621115661446</v>
      </c>
      <c r="AE36" s="16">
        <f t="shared" si="41"/>
        <v>3.8697134543740153</v>
      </c>
      <c r="AF36" s="16">
        <f t="shared" si="41"/>
        <v>3.8310591483781691</v>
      </c>
      <c r="AG36" s="34">
        <f t="shared" si="41"/>
        <v>4.0222214683502884</v>
      </c>
      <c r="AH36" s="34"/>
      <c r="AI36" s="34"/>
      <c r="AJ36" s="2" t="s">
        <v>225</v>
      </c>
      <c r="AK36" s="16">
        <f t="shared" ref="AK36:AW36" si="42">AK35/AK12</f>
        <v>4.1252101931706981</v>
      </c>
      <c r="AL36" s="16">
        <f t="shared" si="42"/>
        <v>4.1500710134046992</v>
      </c>
      <c r="AM36" s="16">
        <f t="shared" si="42"/>
        <v>4.1593521220160152</v>
      </c>
      <c r="AN36" s="16">
        <f t="shared" si="42"/>
        <v>4.2109821136761063</v>
      </c>
      <c r="AO36" s="16">
        <f t="shared" si="42"/>
        <v>4.3465784998996506</v>
      </c>
      <c r="AP36" s="16">
        <f t="shared" si="42"/>
        <v>4.3278486858261047</v>
      </c>
      <c r="AQ36" s="16">
        <f t="shared" si="42"/>
        <v>4.387827630609709</v>
      </c>
      <c r="AR36" s="16">
        <f t="shared" si="42"/>
        <v>4.376478765195011</v>
      </c>
      <c r="AS36" s="17">
        <f t="shared" si="42"/>
        <v>4.4670288799526956</v>
      </c>
      <c r="AT36" s="16">
        <f t="shared" si="42"/>
        <v>4.4280428866838761</v>
      </c>
      <c r="AU36" s="16">
        <f t="shared" si="42"/>
        <v>4.4420920359665272</v>
      </c>
      <c r="AV36" s="16">
        <f t="shared" si="42"/>
        <v>4.4610114245510406</v>
      </c>
      <c r="AW36" s="34">
        <f t="shared" si="42"/>
        <v>4.3577106067797287</v>
      </c>
    </row>
    <row r="37" spans="1:50">
      <c r="A37" s="43"/>
      <c r="B37" s="454"/>
      <c r="C37" s="2" t="s">
        <v>132</v>
      </c>
      <c r="D37" s="32">
        <f t="shared" ref="D37:O37" si="43">D22-D71-D60</f>
        <v>1387713.8952719998</v>
      </c>
      <c r="E37" s="32">
        <f t="shared" si="43"/>
        <v>1357281.0880819999</v>
      </c>
      <c r="F37" s="32">
        <f t="shared" si="43"/>
        <v>1349070.3956880001</v>
      </c>
      <c r="G37" s="32">
        <f t="shared" si="43"/>
        <v>1500614.5094880001</v>
      </c>
      <c r="H37" s="32">
        <f t="shared" si="43"/>
        <v>1479679.5888109999</v>
      </c>
      <c r="I37" s="32">
        <f t="shared" si="43"/>
        <v>1496959.9226200001</v>
      </c>
      <c r="J37" s="32">
        <f t="shared" si="43"/>
        <v>1514008.1024890002</v>
      </c>
      <c r="K37" s="32">
        <f t="shared" si="43"/>
        <v>1534312.8909</v>
      </c>
      <c r="L37" s="39">
        <f t="shared" si="43"/>
        <v>1548553.8478999999</v>
      </c>
      <c r="M37" s="32">
        <f t="shared" si="43"/>
        <v>1363141.6113999998</v>
      </c>
      <c r="N37" s="32">
        <f t="shared" si="43"/>
        <v>1357674.6513999999</v>
      </c>
      <c r="O37" s="32">
        <f t="shared" si="43"/>
        <v>1317542.3813999998</v>
      </c>
      <c r="P37" s="43">
        <f>SUM(D37:O37)</f>
        <v>17206552.885449998</v>
      </c>
      <c r="Q37" s="168">
        <f>P37/P54</f>
        <v>0.32503586607446611</v>
      </c>
      <c r="R37" s="43"/>
      <c r="S37" s="43"/>
      <c r="T37" s="2" t="s">
        <v>132</v>
      </c>
      <c r="U37" s="32">
        <f t="shared" ref="U37:AF37" si="44">U22-U71-U60</f>
        <v>1365344.9012</v>
      </c>
      <c r="V37" s="32">
        <f t="shared" si="44"/>
        <v>1365344.9012</v>
      </c>
      <c r="W37" s="32">
        <f t="shared" si="44"/>
        <v>1365344.9012</v>
      </c>
      <c r="X37" s="32">
        <f t="shared" si="44"/>
        <v>1503738.2511999998</v>
      </c>
      <c r="Y37" s="32">
        <f t="shared" si="44"/>
        <v>1551353.3511999999</v>
      </c>
      <c r="Z37" s="32">
        <f t="shared" si="44"/>
        <v>1551353.3511999999</v>
      </c>
      <c r="AA37" s="32">
        <f t="shared" si="44"/>
        <v>1551353.3511999999</v>
      </c>
      <c r="AB37" s="32">
        <f t="shared" si="44"/>
        <v>1551353.3511999999</v>
      </c>
      <c r="AC37" s="39">
        <f t="shared" si="44"/>
        <v>1551353.3511999999</v>
      </c>
      <c r="AD37" s="32">
        <f t="shared" si="44"/>
        <v>1365344.9012</v>
      </c>
      <c r="AE37" s="32">
        <f t="shared" si="44"/>
        <v>1365344.9012</v>
      </c>
      <c r="AF37" s="32">
        <f t="shared" si="44"/>
        <v>1365344.9012</v>
      </c>
      <c r="AG37" s="43">
        <f>SUM(U37:AF37)</f>
        <v>17452574.414399996</v>
      </c>
      <c r="AH37" s="34"/>
      <c r="AI37" s="43"/>
      <c r="AJ37" s="2" t="s">
        <v>132</v>
      </c>
      <c r="AK37" s="32">
        <f t="shared" ref="AK37:AV37" si="45">AK22-AK71-AK60</f>
        <v>1365344.9012</v>
      </c>
      <c r="AL37" s="32">
        <f t="shared" si="45"/>
        <v>1365344.9012</v>
      </c>
      <c r="AM37" s="32">
        <f t="shared" si="45"/>
        <v>1365344.9012</v>
      </c>
      <c r="AN37" s="32">
        <f t="shared" si="45"/>
        <v>1503738.2511999998</v>
      </c>
      <c r="AO37" s="32">
        <f t="shared" si="45"/>
        <v>1551353.3511999999</v>
      </c>
      <c r="AP37" s="32">
        <f t="shared" si="45"/>
        <v>1551353.3511999999</v>
      </c>
      <c r="AQ37" s="32">
        <f t="shared" si="45"/>
        <v>1551353.3511999999</v>
      </c>
      <c r="AR37" s="32">
        <f t="shared" si="45"/>
        <v>1551353.3511999999</v>
      </c>
      <c r="AS37" s="39">
        <f t="shared" si="45"/>
        <v>1551353.3511999999</v>
      </c>
      <c r="AT37" s="32">
        <f t="shared" si="45"/>
        <v>1365344.9012</v>
      </c>
      <c r="AU37" s="32">
        <f t="shared" si="45"/>
        <v>1365344.9012</v>
      </c>
      <c r="AV37" s="32">
        <f t="shared" si="45"/>
        <v>1365344.9012</v>
      </c>
      <c r="AW37" s="43">
        <f>SUM(AK37:AV37)</f>
        <v>17452574.414399996</v>
      </c>
    </row>
    <row r="38" spans="1:50">
      <c r="A38" s="34"/>
      <c r="B38" s="34"/>
      <c r="C38" s="2" t="s">
        <v>226</v>
      </c>
      <c r="D38" s="16">
        <f t="shared" ref="D38:P38" si="46">D37/D10</f>
        <v>7.6314099201946286</v>
      </c>
      <c r="E38" s="16">
        <f t="shared" si="46"/>
        <v>6.4034200867325666</v>
      </c>
      <c r="F38" s="16">
        <f t="shared" si="46"/>
        <v>5.6918766757799455</v>
      </c>
      <c r="G38" s="16">
        <f t="shared" si="46"/>
        <v>3.3324417361040783</v>
      </c>
      <c r="H38" s="16">
        <f t="shared" si="46"/>
        <v>1.6648397343904353</v>
      </c>
      <c r="I38" s="16">
        <f t="shared" si="46"/>
        <v>1.1247182288421838</v>
      </c>
      <c r="J38" s="16">
        <f t="shared" si="46"/>
        <v>0.98784358780326376</v>
      </c>
      <c r="K38" s="16">
        <f t="shared" si="46"/>
        <v>1.1236051927069604</v>
      </c>
      <c r="L38" s="17">
        <f t="shared" si="46"/>
        <v>2.3463217937002581</v>
      </c>
      <c r="M38" s="16">
        <f t="shared" si="46"/>
        <v>2.9919491597073931</v>
      </c>
      <c r="N38" s="16">
        <f t="shared" si="46"/>
        <v>4.801833238134277</v>
      </c>
      <c r="O38" s="16">
        <f t="shared" si="46"/>
        <v>6.221396104374433</v>
      </c>
      <c r="P38" s="34">
        <f t="shared" si="46"/>
        <v>2.203383382708954</v>
      </c>
      <c r="Q38" s="34"/>
      <c r="R38" s="34"/>
      <c r="S38" s="34"/>
      <c r="T38" s="2" t="s">
        <v>226</v>
      </c>
      <c r="U38" s="16">
        <f t="shared" ref="U38:AG38" si="47">U37/U10</f>
        <v>6.6210739491397197</v>
      </c>
      <c r="V38" s="16">
        <f t="shared" si="47"/>
        <v>6.6210739491397197</v>
      </c>
      <c r="W38" s="16">
        <f t="shared" si="47"/>
        <v>5.5458765803786489</v>
      </c>
      <c r="X38" s="16">
        <f t="shared" si="47"/>
        <v>2.6285178298367717</v>
      </c>
      <c r="Y38" s="16">
        <f t="shared" si="47"/>
        <v>1.5634119475514643</v>
      </c>
      <c r="Z38" s="16">
        <f t="shared" si="47"/>
        <v>1.0058247075036169</v>
      </c>
      <c r="AA38" s="16">
        <f t="shared" si="47"/>
        <v>0.90957631442244213</v>
      </c>
      <c r="AB38" s="16">
        <f t="shared" si="47"/>
        <v>1.1105936966865528</v>
      </c>
      <c r="AC38" s="17">
        <f t="shared" si="47"/>
        <v>1.3730437155959851</v>
      </c>
      <c r="AD38" s="16">
        <f t="shared" si="47"/>
        <v>2.1672141288888889</v>
      </c>
      <c r="AE38" s="16">
        <f t="shared" si="47"/>
        <v>4.0283860172129433</v>
      </c>
      <c r="AF38" s="16">
        <f t="shared" si="47"/>
        <v>6.5475532061718473</v>
      </c>
      <c r="AG38" s="34">
        <f t="shared" si="47"/>
        <v>1.9021616174250227</v>
      </c>
      <c r="AH38" s="34"/>
      <c r="AI38" s="34"/>
      <c r="AJ38" s="2" t="s">
        <v>226</v>
      </c>
      <c r="AK38" s="16">
        <f t="shared" ref="AK38:AW38" si="48">AK37/AK10</f>
        <v>6.4999090775793116</v>
      </c>
      <c r="AL38" s="16">
        <f t="shared" si="48"/>
        <v>6.4999090775793116</v>
      </c>
      <c r="AM38" s="16">
        <f t="shared" si="48"/>
        <v>5.4474276530948931</v>
      </c>
      <c r="AN38" s="16">
        <f t="shared" si="48"/>
        <v>2.5852876533433551</v>
      </c>
      <c r="AO38" s="16">
        <f t="shared" si="48"/>
        <v>1.5384227541094346</v>
      </c>
      <c r="AP38" s="16">
        <f t="shared" si="48"/>
        <v>0.9899449360550937</v>
      </c>
      <c r="AQ38" s="16">
        <f t="shared" si="48"/>
        <v>0.89524992627844691</v>
      </c>
      <c r="AR38" s="16">
        <f t="shared" si="48"/>
        <v>1.0930610142472463</v>
      </c>
      <c r="AS38" s="17">
        <f t="shared" si="48"/>
        <v>1.3511715444157437</v>
      </c>
      <c r="AT38" s="16">
        <f t="shared" si="48"/>
        <v>2.1318457920343756</v>
      </c>
      <c r="AU38" s="16">
        <f t="shared" si="48"/>
        <v>3.9592348259696157</v>
      </c>
      <c r="AV38" s="16">
        <f t="shared" si="48"/>
        <v>6.4285482623173884</v>
      </c>
      <c r="AW38" s="34">
        <f t="shared" si="48"/>
        <v>1.8714069035463996</v>
      </c>
    </row>
    <row r="39" spans="1:50" s="37" customFormat="1">
      <c r="A39" s="195"/>
      <c r="B39" s="195"/>
      <c r="C39" s="170" t="s">
        <v>227</v>
      </c>
      <c r="D39" s="17">
        <f t="shared" ref="D39:P39" si="49">D36+D38</f>
        <v>11.472746201925935</v>
      </c>
      <c r="E39" s="17">
        <f t="shared" si="49"/>
        <v>10.386147929604249</v>
      </c>
      <c r="F39" s="17">
        <f t="shared" si="49"/>
        <v>9.1564786681534258</v>
      </c>
      <c r="G39" s="17">
        <f t="shared" si="49"/>
        <v>7.7324688923811378</v>
      </c>
      <c r="H39" s="17">
        <f t="shared" si="49"/>
        <v>5.250140539526889</v>
      </c>
      <c r="I39" s="17">
        <f t="shared" si="49"/>
        <v>5.1591428898641016</v>
      </c>
      <c r="J39" s="17">
        <f t="shared" si="49"/>
        <v>5.4025739922165963</v>
      </c>
      <c r="K39" s="17">
        <f t="shared" si="49"/>
        <v>5.0099952527294134</v>
      </c>
      <c r="L39" s="17">
        <f t="shared" si="49"/>
        <v>6.1950581308249824</v>
      </c>
      <c r="M39" s="17">
        <f t="shared" si="49"/>
        <v>6.5623871797160724</v>
      </c>
      <c r="N39" s="17">
        <f t="shared" si="49"/>
        <v>6.5478782799732791</v>
      </c>
      <c r="O39" s="17">
        <f t="shared" si="49"/>
        <v>8.4887855061824737</v>
      </c>
      <c r="P39" s="195">
        <f t="shared" si="49"/>
        <v>6.0416239968981467</v>
      </c>
      <c r="Q39" s="195"/>
      <c r="R39" s="195"/>
      <c r="S39" s="195"/>
      <c r="T39" s="170" t="s">
        <v>227</v>
      </c>
      <c r="U39" s="17">
        <f t="shared" ref="U39:AG39" si="50">U36+U38</f>
        <v>10.236970319114549</v>
      </c>
      <c r="V39" s="17">
        <f t="shared" si="50"/>
        <v>10.490986102763692</v>
      </c>
      <c r="W39" s="17">
        <f t="shared" si="50"/>
        <v>9.4933179986920742</v>
      </c>
      <c r="X39" s="17">
        <f t="shared" si="50"/>
        <v>6.5227638073798548</v>
      </c>
      <c r="Y39" s="17">
        <f t="shared" si="50"/>
        <v>5.453840634258766</v>
      </c>
      <c r="Z39" s="17">
        <f t="shared" si="50"/>
        <v>5.0117897664199926</v>
      </c>
      <c r="AA39" s="17">
        <f t="shared" si="50"/>
        <v>4.9836160533287943</v>
      </c>
      <c r="AB39" s="17">
        <f t="shared" si="50"/>
        <v>5.2001112083138379</v>
      </c>
      <c r="AC39" s="17">
        <f t="shared" si="50"/>
        <v>5.5498017866747684</v>
      </c>
      <c r="AD39" s="17">
        <f t="shared" si="50"/>
        <v>6.3886762404550339</v>
      </c>
      <c r="AE39" s="17">
        <f t="shared" si="50"/>
        <v>7.8980994715869581</v>
      </c>
      <c r="AF39" s="17">
        <f t="shared" si="50"/>
        <v>10.378612354550016</v>
      </c>
      <c r="AG39" s="195">
        <f t="shared" si="50"/>
        <v>5.924383085775311</v>
      </c>
      <c r="AH39" s="195"/>
      <c r="AI39" s="195"/>
      <c r="AJ39" s="170" t="s">
        <v>227</v>
      </c>
      <c r="AK39" s="17">
        <f t="shared" ref="AK39:AW39" si="51">AK36+AK38</f>
        <v>10.625119270750009</v>
      </c>
      <c r="AL39" s="17">
        <f t="shared" si="51"/>
        <v>10.649980090984011</v>
      </c>
      <c r="AM39" s="17">
        <f t="shared" si="51"/>
        <v>9.6067797751109083</v>
      </c>
      <c r="AN39" s="17">
        <f t="shared" si="51"/>
        <v>6.7962697670194618</v>
      </c>
      <c r="AO39" s="17">
        <f t="shared" si="51"/>
        <v>5.8850012540090848</v>
      </c>
      <c r="AP39" s="17">
        <f t="shared" si="51"/>
        <v>5.3177936218811981</v>
      </c>
      <c r="AQ39" s="17">
        <f t="shared" si="51"/>
        <v>5.2830775568881556</v>
      </c>
      <c r="AR39" s="17">
        <f t="shared" si="51"/>
        <v>5.4695397794422576</v>
      </c>
      <c r="AS39" s="17">
        <f t="shared" si="51"/>
        <v>5.8182004243684391</v>
      </c>
      <c r="AT39" s="17">
        <f t="shared" si="51"/>
        <v>6.5598886787182522</v>
      </c>
      <c r="AU39" s="17">
        <f t="shared" si="51"/>
        <v>8.401326861936143</v>
      </c>
      <c r="AV39" s="17">
        <f t="shared" si="51"/>
        <v>10.889559686868429</v>
      </c>
      <c r="AW39" s="195">
        <f t="shared" si="51"/>
        <v>6.2291175103261285</v>
      </c>
      <c r="AX39" s="24"/>
    </row>
    <row r="40" spans="1:50" s="37" customFormat="1">
      <c r="A40" s="195"/>
      <c r="B40" s="195"/>
      <c r="C40" s="2" t="s">
        <v>598</v>
      </c>
      <c r="D40" s="28">
        <f>MCFS!D52-MCFS!D46</f>
        <v>202957</v>
      </c>
      <c r="E40" s="28">
        <f>MCFS!E52-MCFS!E46</f>
        <v>202957</v>
      </c>
      <c r="F40" s="28">
        <f>MCFS!F52-MCFS!F46</f>
        <v>242444.3</v>
      </c>
      <c r="G40" s="28">
        <f>MCFS!G52-MCFS!G46</f>
        <v>564149.19999999995</v>
      </c>
      <c r="H40" s="28">
        <f>MCFS!H52-MCFS!H46</f>
        <v>978993.10000000009</v>
      </c>
      <c r="I40" s="28">
        <f>MCFS!I52-MCFS!I46</f>
        <v>1522016.75</v>
      </c>
      <c r="J40" s="28">
        <f>MCFS!J52-MCFS!J46</f>
        <v>1683136.8</v>
      </c>
      <c r="K40" s="28">
        <f>MCFS!K52-MCFS!K46</f>
        <v>1415618.8</v>
      </c>
      <c r="L40" s="28">
        <f>MCFS!L52-MCFS!L46</f>
        <v>1114790.25</v>
      </c>
      <c r="M40" s="28">
        <f>MCFS!M52-MCFS!M46</f>
        <v>621342</v>
      </c>
      <c r="N40" s="28">
        <f>MCFS!N52-MCFS!N46</f>
        <v>333977.7</v>
      </c>
      <c r="O40" s="28">
        <f>MCFS!O52-MCFS!O46</f>
        <v>205262.75</v>
      </c>
      <c r="P40" s="59">
        <f>SUM(D40:O40)</f>
        <v>9087645.6499999985</v>
      </c>
      <c r="Q40" s="195"/>
      <c r="R40" s="195"/>
      <c r="S40" s="195"/>
      <c r="T40" s="2" t="s">
        <v>598</v>
      </c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95"/>
      <c r="AH40" s="195"/>
      <c r="AI40" s="195"/>
      <c r="AJ40" s="2" t="s">
        <v>598</v>
      </c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95"/>
      <c r="AX40" s="24"/>
    </row>
    <row r="41" spans="1:50" s="37" customFormat="1">
      <c r="A41" s="195"/>
      <c r="B41" s="195"/>
      <c r="C41" s="2" t="s">
        <v>596</v>
      </c>
      <c r="D41" s="17">
        <f>$P$37/$P$40</f>
        <v>1.8934005074735722</v>
      </c>
      <c r="E41" s="17">
        <f t="shared" ref="E41:P41" si="52">$P$37/$P$40</f>
        <v>1.8934005074735722</v>
      </c>
      <c r="F41" s="17">
        <f t="shared" si="52"/>
        <v>1.8934005074735722</v>
      </c>
      <c r="G41" s="17">
        <f t="shared" si="52"/>
        <v>1.8934005074735722</v>
      </c>
      <c r="H41" s="17">
        <f t="shared" si="52"/>
        <v>1.8934005074735722</v>
      </c>
      <c r="I41" s="17">
        <f t="shared" si="52"/>
        <v>1.8934005074735722</v>
      </c>
      <c r="J41" s="17">
        <f t="shared" si="52"/>
        <v>1.8934005074735722</v>
      </c>
      <c r="K41" s="17">
        <f t="shared" si="52"/>
        <v>1.8934005074735722</v>
      </c>
      <c r="L41" s="17">
        <f t="shared" si="52"/>
        <v>1.8934005074735722</v>
      </c>
      <c r="M41" s="17">
        <f t="shared" si="52"/>
        <v>1.8934005074735722</v>
      </c>
      <c r="N41" s="17">
        <f t="shared" si="52"/>
        <v>1.8934005074735722</v>
      </c>
      <c r="O41" s="17">
        <f t="shared" si="52"/>
        <v>1.8934005074735722</v>
      </c>
      <c r="P41" s="17">
        <f t="shared" si="52"/>
        <v>1.8934005074735722</v>
      </c>
      <c r="Q41" s="195" t="s">
        <v>587</v>
      </c>
      <c r="R41" s="195"/>
      <c r="S41" s="195"/>
      <c r="T41" s="2" t="s">
        <v>368</v>
      </c>
      <c r="U41" s="17">
        <f>$AG$37/$AG$10</f>
        <v>1.9021616174250227</v>
      </c>
      <c r="V41" s="17">
        <f t="shared" ref="V41:AG41" si="53">$AG$37/$AG$10</f>
        <v>1.9021616174250227</v>
      </c>
      <c r="W41" s="17">
        <f t="shared" si="53"/>
        <v>1.9021616174250227</v>
      </c>
      <c r="X41" s="17">
        <f t="shared" si="53"/>
        <v>1.9021616174250227</v>
      </c>
      <c r="Y41" s="17">
        <f t="shared" si="53"/>
        <v>1.9021616174250227</v>
      </c>
      <c r="Z41" s="17">
        <f t="shared" si="53"/>
        <v>1.9021616174250227</v>
      </c>
      <c r="AA41" s="17">
        <f t="shared" si="53"/>
        <v>1.9021616174250227</v>
      </c>
      <c r="AB41" s="17">
        <f t="shared" si="53"/>
        <v>1.9021616174250227</v>
      </c>
      <c r="AC41" s="17">
        <f t="shared" si="53"/>
        <v>1.9021616174250227</v>
      </c>
      <c r="AD41" s="17">
        <f t="shared" si="53"/>
        <v>1.9021616174250227</v>
      </c>
      <c r="AE41" s="17">
        <f t="shared" si="53"/>
        <v>1.9021616174250227</v>
      </c>
      <c r="AF41" s="17">
        <f t="shared" si="53"/>
        <v>1.9021616174250227</v>
      </c>
      <c r="AG41" s="195">
        <f t="shared" si="53"/>
        <v>1.9021616174250227</v>
      </c>
      <c r="AH41" s="195"/>
      <c r="AI41" s="195"/>
      <c r="AJ41" s="2" t="s">
        <v>596</v>
      </c>
      <c r="AK41" s="17">
        <f>$AW$37/$AW$10</f>
        <v>1.8714069035463996</v>
      </c>
      <c r="AL41" s="17">
        <f t="shared" ref="AL41:AW41" si="54">$AW$37/$AW$10</f>
        <v>1.8714069035463996</v>
      </c>
      <c r="AM41" s="17">
        <f t="shared" si="54"/>
        <v>1.8714069035463996</v>
      </c>
      <c r="AN41" s="17">
        <f t="shared" si="54"/>
        <v>1.8714069035463996</v>
      </c>
      <c r="AO41" s="17">
        <f t="shared" si="54"/>
        <v>1.8714069035463996</v>
      </c>
      <c r="AP41" s="17">
        <f t="shared" si="54"/>
        <v>1.8714069035463996</v>
      </c>
      <c r="AQ41" s="17">
        <f t="shared" si="54"/>
        <v>1.8714069035463996</v>
      </c>
      <c r="AR41" s="17">
        <f t="shared" si="54"/>
        <v>1.8714069035463996</v>
      </c>
      <c r="AS41" s="17">
        <f t="shared" si="54"/>
        <v>1.8714069035463996</v>
      </c>
      <c r="AT41" s="17">
        <f t="shared" si="54"/>
        <v>1.8714069035463996</v>
      </c>
      <c r="AU41" s="17">
        <f t="shared" si="54"/>
        <v>1.8714069035463996</v>
      </c>
      <c r="AV41" s="17">
        <f t="shared" si="54"/>
        <v>1.8714069035463996</v>
      </c>
      <c r="AW41" s="195">
        <f t="shared" si="54"/>
        <v>1.8714069035463996</v>
      </c>
      <c r="AX41" s="24"/>
    </row>
    <row r="42" spans="1:50" s="37" customFormat="1">
      <c r="A42" s="195"/>
      <c r="B42" s="195"/>
      <c r="C42" s="2" t="s">
        <v>597</v>
      </c>
      <c r="D42" s="39">
        <f>D40*D41</f>
        <v>384278.8867953138</v>
      </c>
      <c r="E42" s="39">
        <f t="shared" ref="E42:O42" si="55">E40*E41</f>
        <v>384278.8867953138</v>
      </c>
      <c r="F42" s="39">
        <f t="shared" si="55"/>
        <v>459044.16065407498</v>
      </c>
      <c r="G42" s="39">
        <f t="shared" si="55"/>
        <v>1068160.3815708098</v>
      </c>
      <c r="H42" s="39">
        <f t="shared" si="55"/>
        <v>1853626.0323531257</v>
      </c>
      <c r="I42" s="39">
        <f t="shared" si="55"/>
        <v>2881787.286833277</v>
      </c>
      <c r="J42" s="39">
        <f t="shared" si="55"/>
        <v>3186852.0712674446</v>
      </c>
      <c r="K42" s="39">
        <f t="shared" si="55"/>
        <v>2680333.3543091295</v>
      </c>
      <c r="L42" s="39">
        <f t="shared" si="55"/>
        <v>2110744.4250765904</v>
      </c>
      <c r="M42" s="39">
        <f t="shared" si="55"/>
        <v>1176449.2581146443</v>
      </c>
      <c r="N42" s="39">
        <f t="shared" si="55"/>
        <v>632353.54666485649</v>
      </c>
      <c r="O42" s="39">
        <f t="shared" si="55"/>
        <v>388644.59501542099</v>
      </c>
      <c r="P42" s="197">
        <f>SUM(D42:O42)</f>
        <v>17206552.885450002</v>
      </c>
      <c r="Q42" s="131">
        <v>109000</v>
      </c>
      <c r="R42" s="195"/>
      <c r="S42" s="195"/>
      <c r="T42" s="2" t="s">
        <v>595</v>
      </c>
      <c r="U42" s="39">
        <f>1.48*U10</f>
        <v>305193.76</v>
      </c>
      <c r="V42" s="39">
        <f t="shared" ref="V42:AF42" si="56">1.48*V10</f>
        <v>305193.76</v>
      </c>
      <c r="W42" s="39">
        <f t="shared" si="56"/>
        <v>364362.68</v>
      </c>
      <c r="X42" s="39">
        <f t="shared" si="56"/>
        <v>846687.28000000014</v>
      </c>
      <c r="Y42" s="39">
        <f t="shared" si="56"/>
        <v>1468584.76</v>
      </c>
      <c r="Z42" s="39">
        <f t="shared" si="56"/>
        <v>2282706.86</v>
      </c>
      <c r="AA42" s="39">
        <f t="shared" si="56"/>
        <v>2524255.44</v>
      </c>
      <c r="AB42" s="39">
        <f t="shared" si="56"/>
        <v>2067365.38</v>
      </c>
      <c r="AC42" s="39">
        <f t="shared" si="56"/>
        <v>1672199.46</v>
      </c>
      <c r="AD42" s="39">
        <f t="shared" si="56"/>
        <v>932400</v>
      </c>
      <c r="AE42" s="39">
        <f t="shared" si="56"/>
        <v>501617.88</v>
      </c>
      <c r="AF42" s="39">
        <f t="shared" si="56"/>
        <v>308620.7</v>
      </c>
      <c r="AG42" s="43">
        <f>SUM(U42:AF42)</f>
        <v>13579187.959999999</v>
      </c>
      <c r="AH42" s="195"/>
      <c r="AI42" s="195"/>
      <c r="AJ42" s="2" t="s">
        <v>602</v>
      </c>
      <c r="AK42" s="39">
        <f>AK41*AK10</f>
        <v>393100.24853134254</v>
      </c>
      <c r="AL42" s="39">
        <f t="shared" ref="AL42:AV42" si="57">AL41*AL10</f>
        <v>393100.24853134254</v>
      </c>
      <c r="AM42" s="39">
        <f t="shared" si="57"/>
        <v>469049.98772694066</v>
      </c>
      <c r="AN42" s="39">
        <f t="shared" si="57"/>
        <v>1088507.9425429511</v>
      </c>
      <c r="AO42" s="39">
        <f t="shared" si="57"/>
        <v>1887136.2657113976</v>
      </c>
      <c r="AP42" s="39">
        <f t="shared" si="57"/>
        <v>2932701.8761717761</v>
      </c>
      <c r="AQ42" s="39">
        <f t="shared" si="57"/>
        <v>3242908.2494808766</v>
      </c>
      <c r="AR42" s="39">
        <f t="shared" si="57"/>
        <v>2656039.6294756387</v>
      </c>
      <c r="AS42" s="39">
        <f t="shared" si="57"/>
        <v>2148663.7897861386</v>
      </c>
      <c r="AT42" s="39">
        <f t="shared" si="57"/>
        <v>1198546.2941900988</v>
      </c>
      <c r="AU42" s="39">
        <f t="shared" si="57"/>
        <v>645355.98067280825</v>
      </c>
      <c r="AV42" s="39">
        <f t="shared" si="57"/>
        <v>397463.90157868684</v>
      </c>
      <c r="AW42" s="43">
        <f>SUM(AK42:AV42)</f>
        <v>17452574.4144</v>
      </c>
      <c r="AX42" s="24"/>
    </row>
    <row r="43" spans="1:50" s="37" customFormat="1">
      <c r="A43" s="195"/>
      <c r="B43" s="195"/>
      <c r="C43" s="2" t="s">
        <v>599</v>
      </c>
      <c r="D43" s="28">
        <f>+MCFS!D89-MCFS!D81</f>
        <v>181842.4</v>
      </c>
      <c r="E43" s="28">
        <f>+MCFS!E89-MCFS!E81</f>
        <v>211961.90000000005</v>
      </c>
      <c r="F43" s="28">
        <f>+MCFS!F89-MCFS!F81</f>
        <v>237016.8</v>
      </c>
      <c r="G43" s="28">
        <f>+MCFS!G89-MCFS!G81</f>
        <v>450304.8000000001</v>
      </c>
      <c r="H43" s="28">
        <f>+MCFS!H89-MCFS!H81</f>
        <v>888782</v>
      </c>
      <c r="I43" s="28">
        <f>+MCFS!I89-MCFS!I81</f>
        <v>1330964.4000000001</v>
      </c>
      <c r="J43" s="28">
        <f>+MCFS!J89-MCFS!J81</f>
        <v>1532639.5</v>
      </c>
      <c r="K43" s="28">
        <f>+MCFS!K89-MCFS!K81</f>
        <v>1365526.7000000002</v>
      </c>
      <c r="L43" s="28">
        <f>+MCFS!L89-MCFS!L81</f>
        <v>659992.1</v>
      </c>
      <c r="M43" s="28">
        <f>+MCFS!M89-MCFS!M81</f>
        <v>455603.20000000013</v>
      </c>
      <c r="N43" s="28">
        <f>+MCFS!N89-MCFS!N81</f>
        <v>282740.90000000002</v>
      </c>
      <c r="O43" s="39"/>
      <c r="P43" s="197"/>
      <c r="Q43" s="131"/>
      <c r="R43" s="195"/>
      <c r="S43" s="195"/>
      <c r="T43" s="2" t="s">
        <v>599</v>
      </c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43"/>
      <c r="AH43" s="195"/>
      <c r="AI43" s="195"/>
      <c r="AJ43" s="2" t="s">
        <v>599</v>
      </c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43"/>
      <c r="AX43" s="24"/>
    </row>
    <row r="44" spans="1:50" s="37" customFormat="1">
      <c r="A44" s="195"/>
      <c r="B44" s="195"/>
      <c r="C44" s="2" t="s">
        <v>600</v>
      </c>
      <c r="D44" s="107">
        <f t="shared" ref="D44:L44" si="58">D43-D40</f>
        <v>-21114.600000000006</v>
      </c>
      <c r="E44" s="107">
        <f t="shared" si="58"/>
        <v>9004.9000000000524</v>
      </c>
      <c r="F44" s="107">
        <f t="shared" si="58"/>
        <v>-5427.5</v>
      </c>
      <c r="G44" s="107">
        <f t="shared" si="58"/>
        <v>-113844.39999999985</v>
      </c>
      <c r="H44" s="107">
        <f t="shared" si="58"/>
        <v>-90211.100000000093</v>
      </c>
      <c r="I44" s="107">
        <f t="shared" si="58"/>
        <v>-191052.34999999986</v>
      </c>
      <c r="J44" s="107">
        <f t="shared" si="58"/>
        <v>-150497.30000000005</v>
      </c>
      <c r="K44" s="107">
        <f t="shared" si="58"/>
        <v>-50092.09999999986</v>
      </c>
      <c r="L44" s="107">
        <f t="shared" si="58"/>
        <v>-454798.15</v>
      </c>
      <c r="M44" s="107">
        <f t="shared" ref="M44:N44" si="59">M43-M40</f>
        <v>-165738.79999999987</v>
      </c>
      <c r="N44" s="107">
        <f t="shared" si="59"/>
        <v>-51236.799999999988</v>
      </c>
      <c r="O44" s="39"/>
      <c r="P44" s="197"/>
      <c r="Q44" s="131"/>
      <c r="R44" s="195"/>
      <c r="S44" s="195"/>
      <c r="T44" s="2" t="s">
        <v>600</v>
      </c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43"/>
      <c r="AH44" s="195"/>
      <c r="AI44" s="195"/>
      <c r="AJ44" s="2" t="s">
        <v>600</v>
      </c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43"/>
      <c r="AX44" s="24"/>
    </row>
    <row r="45" spans="1:50" s="37" customFormat="1">
      <c r="A45" s="195"/>
      <c r="B45" s="195"/>
      <c r="C45" s="2" t="s">
        <v>603</v>
      </c>
      <c r="D45" s="66">
        <f t="shared" ref="D45:L45" si="60">D44*D41</f>
        <v>-39978.394355101496</v>
      </c>
      <c r="E45" s="66">
        <f t="shared" si="60"/>
        <v>17049.88222974887</v>
      </c>
      <c r="F45" s="66">
        <f t="shared" si="60"/>
        <v>-10276.431254312813</v>
      </c>
      <c r="G45" s="66">
        <f t="shared" si="60"/>
        <v>-215553.04473302406</v>
      </c>
      <c r="H45" s="66">
        <f t="shared" si="60"/>
        <v>-170805.74251974936</v>
      </c>
      <c r="I45" s="66">
        <f t="shared" si="60"/>
        <v>-361738.61644401826</v>
      </c>
      <c r="J45" s="66">
        <f t="shared" si="60"/>
        <v>-284951.66419340251</v>
      </c>
      <c r="K45" s="66">
        <f t="shared" si="60"/>
        <v>-94844.407560416657</v>
      </c>
      <c r="L45" s="66">
        <f t="shared" si="60"/>
        <v>-861115.04800804192</v>
      </c>
      <c r="M45" s="66">
        <f t="shared" ref="M45:N45" si="61">M44*M41</f>
        <v>-313809.92802806065</v>
      </c>
      <c r="N45" s="66">
        <f t="shared" si="61"/>
        <v>-97011.783121321903</v>
      </c>
      <c r="O45" s="39"/>
      <c r="P45" s="197"/>
      <c r="Q45" s="131"/>
      <c r="R45" s="195"/>
      <c r="S45" s="195"/>
      <c r="T45" s="2" t="s">
        <v>603</v>
      </c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43"/>
      <c r="AH45" s="195"/>
      <c r="AI45" s="195"/>
      <c r="AJ45" s="2" t="s">
        <v>603</v>
      </c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43"/>
      <c r="AX45" s="24"/>
    </row>
    <row r="46" spans="1:50" s="37" customFormat="1">
      <c r="A46" s="195"/>
      <c r="B46" s="195"/>
      <c r="C46" s="2" t="s">
        <v>604</v>
      </c>
      <c r="D46" s="66">
        <f>D45</f>
        <v>-39978.394355101496</v>
      </c>
      <c r="E46" s="66">
        <f t="shared" ref="E46:N46" si="62">D46+E45</f>
        <v>-22928.512125352627</v>
      </c>
      <c r="F46" s="66">
        <f t="shared" si="62"/>
        <v>-33204.943379665441</v>
      </c>
      <c r="G46" s="66">
        <f t="shared" si="62"/>
        <v>-248757.98811268949</v>
      </c>
      <c r="H46" s="66">
        <f t="shared" si="62"/>
        <v>-419563.73063243885</v>
      </c>
      <c r="I46" s="66">
        <f t="shared" si="62"/>
        <v>-781302.34707645711</v>
      </c>
      <c r="J46" s="66">
        <f t="shared" si="62"/>
        <v>-1066254.0112698595</v>
      </c>
      <c r="K46" s="66">
        <f t="shared" si="62"/>
        <v>-1161098.4188302762</v>
      </c>
      <c r="L46" s="66">
        <f t="shared" si="62"/>
        <v>-2022213.4668383182</v>
      </c>
      <c r="M46" s="66">
        <f t="shared" si="62"/>
        <v>-2336023.394866379</v>
      </c>
      <c r="N46" s="66">
        <f t="shared" si="62"/>
        <v>-2433035.1779877008</v>
      </c>
      <c r="O46" s="39"/>
      <c r="P46" s="197"/>
      <c r="Q46" s="131"/>
      <c r="R46" s="195"/>
      <c r="S46" s="195"/>
      <c r="T46" s="2" t="s">
        <v>604</v>
      </c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43"/>
      <c r="AH46" s="195"/>
      <c r="AI46" s="195"/>
      <c r="AJ46" s="2" t="s">
        <v>604</v>
      </c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43"/>
      <c r="AX46" s="24"/>
    </row>
    <row r="47" spans="1:50" s="37" customFormat="1">
      <c r="A47" s="195"/>
      <c r="B47" s="195"/>
      <c r="C47" s="2" t="s">
        <v>369</v>
      </c>
      <c r="D47" s="17">
        <f>D36+D41</f>
        <v>5.7347367892048782</v>
      </c>
      <c r="E47" s="17">
        <f t="shared" ref="E47:P47" si="63">E36+E41</f>
        <v>5.8761283503452546</v>
      </c>
      <c r="F47" s="17">
        <f t="shared" si="63"/>
        <v>5.3580024998470526</v>
      </c>
      <c r="G47" s="17">
        <f t="shared" si="63"/>
        <v>6.2934276637506317</v>
      </c>
      <c r="H47" s="17">
        <f t="shared" si="63"/>
        <v>5.4787013126100259</v>
      </c>
      <c r="I47" s="17">
        <f t="shared" si="63"/>
        <v>5.9278251684954899</v>
      </c>
      <c r="J47" s="17">
        <f t="shared" si="63"/>
        <v>6.3081309118869049</v>
      </c>
      <c r="K47" s="17">
        <f t="shared" si="63"/>
        <v>5.7797905674960255</v>
      </c>
      <c r="L47" s="17">
        <f t="shared" si="63"/>
        <v>5.7421368445982965</v>
      </c>
      <c r="M47" s="17">
        <f t="shared" si="63"/>
        <v>5.4638385274822525</v>
      </c>
      <c r="N47" s="17">
        <f t="shared" si="63"/>
        <v>3.6394455493125744</v>
      </c>
      <c r="O47" s="17">
        <f t="shared" si="63"/>
        <v>4.1607899092816121</v>
      </c>
      <c r="P47" s="195">
        <f t="shared" si="63"/>
        <v>5.731641121662765</v>
      </c>
      <c r="Q47" s="195" t="s">
        <v>593</v>
      </c>
      <c r="R47" s="195"/>
      <c r="S47" s="195"/>
      <c r="T47" s="2" t="s">
        <v>369</v>
      </c>
      <c r="U47" s="17">
        <f t="shared" ref="U47:AG47" si="64">U36+U41</f>
        <v>5.5180579873998523</v>
      </c>
      <c r="V47" s="17">
        <f t="shared" si="64"/>
        <v>5.7720737710489951</v>
      </c>
      <c r="W47" s="17">
        <f t="shared" si="64"/>
        <v>5.8496030357384488</v>
      </c>
      <c r="X47" s="17">
        <f t="shared" si="64"/>
        <v>5.7964075949681053</v>
      </c>
      <c r="Y47" s="17">
        <f t="shared" si="64"/>
        <v>5.7925903041323243</v>
      </c>
      <c r="Z47" s="17">
        <f t="shared" si="64"/>
        <v>5.9081266763413982</v>
      </c>
      <c r="AA47" s="17">
        <f t="shared" si="64"/>
        <v>5.9762013563313747</v>
      </c>
      <c r="AB47" s="17">
        <f t="shared" si="64"/>
        <v>5.9916791290523079</v>
      </c>
      <c r="AC47" s="17">
        <f t="shared" si="64"/>
        <v>6.0789196885038059</v>
      </c>
      <c r="AD47" s="17">
        <f t="shared" si="64"/>
        <v>6.1236237289911672</v>
      </c>
      <c r="AE47" s="17">
        <f t="shared" si="64"/>
        <v>5.7718750717990375</v>
      </c>
      <c r="AF47" s="17">
        <f t="shared" si="64"/>
        <v>5.7332207658031917</v>
      </c>
      <c r="AG47" s="195">
        <f t="shared" si="64"/>
        <v>5.924383085775311</v>
      </c>
      <c r="AH47" s="195"/>
      <c r="AI47" s="195"/>
      <c r="AJ47" s="2" t="s">
        <v>369</v>
      </c>
      <c r="AK47" s="17">
        <f t="shared" ref="AK47:AW47" si="65">AK36+AK41</f>
        <v>5.996617096717098</v>
      </c>
      <c r="AL47" s="17">
        <f t="shared" si="65"/>
        <v>6.021477916951099</v>
      </c>
      <c r="AM47" s="17">
        <f t="shared" si="65"/>
        <v>6.0307590255624151</v>
      </c>
      <c r="AN47" s="17">
        <f t="shared" si="65"/>
        <v>6.0823890172225061</v>
      </c>
      <c r="AO47" s="17">
        <f t="shared" si="65"/>
        <v>6.2179854034460504</v>
      </c>
      <c r="AP47" s="17">
        <f t="shared" si="65"/>
        <v>6.1992555893725045</v>
      </c>
      <c r="AQ47" s="17">
        <f t="shared" si="65"/>
        <v>6.2592345341561089</v>
      </c>
      <c r="AR47" s="17">
        <f t="shared" si="65"/>
        <v>6.2478856687414108</v>
      </c>
      <c r="AS47" s="17">
        <f t="shared" si="65"/>
        <v>6.3384357834990954</v>
      </c>
      <c r="AT47" s="17">
        <f t="shared" si="65"/>
        <v>6.299449790230276</v>
      </c>
      <c r="AU47" s="17">
        <f t="shared" si="65"/>
        <v>6.3134989395129271</v>
      </c>
      <c r="AV47" s="17">
        <f t="shared" si="65"/>
        <v>6.3324183280974404</v>
      </c>
      <c r="AW47" s="195">
        <f t="shared" si="65"/>
        <v>6.2291175103261285</v>
      </c>
      <c r="AX47" s="24"/>
    </row>
    <row r="48" spans="1:50">
      <c r="A48" s="43"/>
      <c r="B48" s="43"/>
      <c r="C48" s="2" t="s">
        <v>134</v>
      </c>
      <c r="D48" s="32">
        <f t="shared" ref="D48:O48" si="66">(D35-D52)+D37</f>
        <v>2086231.7039490966</v>
      </c>
      <c r="E48" s="32">
        <f t="shared" si="66"/>
        <v>2201467.6488399832</v>
      </c>
      <c r="F48" s="32">
        <f t="shared" si="66"/>
        <v>2170239.2731939871</v>
      </c>
      <c r="G48" s="32">
        <f t="shared" si="66"/>
        <v>3481967.8580899104</v>
      </c>
      <c r="H48" s="32">
        <f t="shared" si="66"/>
        <v>4666230.4090017881</v>
      </c>
      <c r="I48" s="32">
        <f t="shared" si="66"/>
        <v>6866635.5209222417</v>
      </c>
      <c r="J48" s="32">
        <f t="shared" si="66"/>
        <v>8280198.3021438476</v>
      </c>
      <c r="K48" s="32">
        <f t="shared" si="66"/>
        <v>6841282.2844752632</v>
      </c>
      <c r="L48" s="39">
        <f t="shared" si="66"/>
        <v>4088689.4253852549</v>
      </c>
      <c r="M48" s="32">
        <f t="shared" si="66"/>
        <v>2989844.5987176187</v>
      </c>
      <c r="N48" s="32">
        <f t="shared" si="66"/>
        <v>1851352.9979700972</v>
      </c>
      <c r="O48" s="32">
        <f t="shared" si="66"/>
        <v>1797721.0393572992</v>
      </c>
      <c r="P48" s="43">
        <f>SUM(D48:O48)</f>
        <v>47321861.062046379</v>
      </c>
      <c r="Q48" s="43">
        <f>P42/Q42</f>
        <v>157.85828335275232</v>
      </c>
      <c r="R48" s="43"/>
      <c r="S48" s="43"/>
      <c r="T48" s="2" t="s">
        <v>134</v>
      </c>
      <c r="U48" s="32">
        <f t="shared" ref="U48:AF48" si="67">(U35-U52)+U37</f>
        <v>2110986.1234452496</v>
      </c>
      <c r="V48" s="32">
        <f t="shared" si="67"/>
        <v>2163367.2262231065</v>
      </c>
      <c r="W48" s="32">
        <f t="shared" si="67"/>
        <v>2337169.4514160007</v>
      </c>
      <c r="X48" s="32">
        <f t="shared" si="67"/>
        <v>3731581.8555087121</v>
      </c>
      <c r="Y48" s="32">
        <f t="shared" si="67"/>
        <v>5411775.1614467278</v>
      </c>
      <c r="Z48" s="32">
        <f t="shared" si="67"/>
        <v>7730031.6761383209</v>
      </c>
      <c r="AA48" s="32">
        <f t="shared" si="67"/>
        <v>8499945.9010044169</v>
      </c>
      <c r="AB48" s="32">
        <f t="shared" si="67"/>
        <v>7263871.5433905385</v>
      </c>
      <c r="AC48" s="39">
        <f t="shared" si="67"/>
        <v>6270524.0208003931</v>
      </c>
      <c r="AD48" s="32">
        <f t="shared" si="67"/>
        <v>4024866.0314866705</v>
      </c>
      <c r="AE48" s="32">
        <f t="shared" si="67"/>
        <v>2676910.752004439</v>
      </c>
      <c r="AF48" s="32">
        <f t="shared" si="67"/>
        <v>2164226.0877634287</v>
      </c>
      <c r="AG48" s="43">
        <f>SUM(U48:AF48)</f>
        <v>54385255.830628008</v>
      </c>
      <c r="AH48" s="43"/>
      <c r="AI48" s="43"/>
      <c r="AJ48" s="2" t="s">
        <v>134</v>
      </c>
      <c r="AK48" s="32">
        <f t="shared" ref="AK48:AV48" si="68">(AK35-AK52)+AK37</f>
        <v>2231870.0535366642</v>
      </c>
      <c r="AL48" s="32">
        <f t="shared" si="68"/>
        <v>2237092.2179917376</v>
      </c>
      <c r="AM48" s="32">
        <f t="shared" si="68"/>
        <v>2407846.1648677308</v>
      </c>
      <c r="AN48" s="32">
        <f t="shared" si="68"/>
        <v>3953065.261780357</v>
      </c>
      <c r="AO48" s="32">
        <f t="shared" si="68"/>
        <v>5934465.2780491561</v>
      </c>
      <c r="AP48" s="32">
        <f t="shared" si="68"/>
        <v>8333571.5511314627</v>
      </c>
      <c r="AQ48" s="32">
        <f t="shared" si="68"/>
        <v>9154896.1155443825</v>
      </c>
      <c r="AR48" s="32">
        <f t="shared" si="68"/>
        <v>7762776.9683130756</v>
      </c>
      <c r="AS48" s="39">
        <f t="shared" si="68"/>
        <v>6680191.5445904266</v>
      </c>
      <c r="AT48" s="32">
        <f t="shared" si="68"/>
        <v>4201293.824062462</v>
      </c>
      <c r="AU48" s="32">
        <f t="shared" si="68"/>
        <v>2897203.4492674819</v>
      </c>
      <c r="AV48" s="32">
        <f t="shared" si="68"/>
        <v>2312809.0803846903</v>
      </c>
      <c r="AW48" s="43">
        <f>SUM(AK48:AV48)</f>
        <v>58107081.509519637</v>
      </c>
    </row>
    <row r="49" spans="1:50">
      <c r="A49" s="43"/>
      <c r="B49" s="43"/>
      <c r="C49" s="2" t="s">
        <v>618</v>
      </c>
      <c r="D49" s="32">
        <f>D48</f>
        <v>2086231.7039490966</v>
      </c>
      <c r="E49" s="32">
        <f t="shared" ref="E49:O49" si="69">D49+E48</f>
        <v>4287699.3527890798</v>
      </c>
      <c r="F49" s="32">
        <f t="shared" si="69"/>
        <v>6457938.6259830669</v>
      </c>
      <c r="G49" s="32">
        <f t="shared" si="69"/>
        <v>9939906.4840729777</v>
      </c>
      <c r="H49" s="32">
        <f t="shared" si="69"/>
        <v>14606136.893074766</v>
      </c>
      <c r="I49" s="32">
        <f t="shared" si="69"/>
        <v>21472772.413997009</v>
      </c>
      <c r="J49" s="32">
        <f t="shared" si="69"/>
        <v>29752970.716140859</v>
      </c>
      <c r="K49" s="32">
        <f t="shared" si="69"/>
        <v>36594253.000616118</v>
      </c>
      <c r="L49" s="39">
        <f t="shared" si="69"/>
        <v>40682942.42600137</v>
      </c>
      <c r="M49" s="32">
        <f t="shared" si="69"/>
        <v>43672787.024718985</v>
      </c>
      <c r="N49" s="32">
        <f t="shared" si="69"/>
        <v>45524140.022689082</v>
      </c>
      <c r="O49" s="32">
        <f t="shared" si="69"/>
        <v>47321861.062046379</v>
      </c>
      <c r="P49" s="43"/>
      <c r="Q49" s="43" t="s">
        <v>594</v>
      </c>
      <c r="R49" s="43"/>
      <c r="S49" s="43"/>
      <c r="T49" s="2" t="s">
        <v>142</v>
      </c>
      <c r="U49" s="32">
        <f>U48</f>
        <v>2110986.1234452496</v>
      </c>
      <c r="V49" s="32">
        <f t="shared" ref="V49:AF49" si="70">U49+V48</f>
        <v>4274353.3496683557</v>
      </c>
      <c r="W49" s="32">
        <f t="shared" si="70"/>
        <v>6611522.8010843564</v>
      </c>
      <c r="X49" s="32">
        <f t="shared" si="70"/>
        <v>10343104.656593069</v>
      </c>
      <c r="Y49" s="32">
        <f t="shared" si="70"/>
        <v>15754879.818039797</v>
      </c>
      <c r="Z49" s="32">
        <f t="shared" si="70"/>
        <v>23484911.494178116</v>
      </c>
      <c r="AA49" s="32">
        <f t="shared" si="70"/>
        <v>31984857.395182535</v>
      </c>
      <c r="AB49" s="32">
        <f t="shared" si="70"/>
        <v>39248728.938573077</v>
      </c>
      <c r="AC49" s="39">
        <f t="shared" si="70"/>
        <v>45519252.959373474</v>
      </c>
      <c r="AD49" s="32">
        <f t="shared" si="70"/>
        <v>49544118.990860142</v>
      </c>
      <c r="AE49" s="32">
        <f t="shared" si="70"/>
        <v>52221029.742864579</v>
      </c>
      <c r="AF49" s="32">
        <f t="shared" si="70"/>
        <v>54385255.830628008</v>
      </c>
      <c r="AG49" s="43"/>
      <c r="AH49" s="43"/>
      <c r="AI49" s="43"/>
      <c r="AJ49" s="2" t="s">
        <v>142</v>
      </c>
      <c r="AK49" s="32">
        <f>AK48</f>
        <v>2231870.0535366642</v>
      </c>
      <c r="AL49" s="32">
        <f t="shared" ref="AL49:AV49" si="71">AK49+AL48</f>
        <v>4468962.2715284023</v>
      </c>
      <c r="AM49" s="32">
        <f t="shared" si="71"/>
        <v>6876808.4363961332</v>
      </c>
      <c r="AN49" s="32">
        <f t="shared" si="71"/>
        <v>10829873.69817649</v>
      </c>
      <c r="AO49" s="32">
        <f t="shared" si="71"/>
        <v>16764338.976225646</v>
      </c>
      <c r="AP49" s="32">
        <f t="shared" si="71"/>
        <v>25097910.527357109</v>
      </c>
      <c r="AQ49" s="32">
        <f t="shared" si="71"/>
        <v>34252806.642901495</v>
      </c>
      <c r="AR49" s="32">
        <f t="shared" si="71"/>
        <v>42015583.611214571</v>
      </c>
      <c r="AS49" s="39">
        <f t="shared" si="71"/>
        <v>48695775.155804999</v>
      </c>
      <c r="AT49" s="32">
        <f t="shared" si="71"/>
        <v>52897068.979867458</v>
      </c>
      <c r="AU49" s="32">
        <f t="shared" si="71"/>
        <v>55794272.429134943</v>
      </c>
      <c r="AV49" s="32">
        <f t="shared" si="71"/>
        <v>58107081.509519637</v>
      </c>
      <c r="AW49" s="43"/>
    </row>
    <row r="50" spans="1:50">
      <c r="A50" s="43"/>
      <c r="B50" s="43"/>
      <c r="C50" s="2"/>
      <c r="D50" s="32"/>
      <c r="E50" s="32"/>
      <c r="F50" s="32"/>
      <c r="G50" s="32"/>
      <c r="H50" s="32"/>
      <c r="I50" s="32"/>
      <c r="J50" s="32"/>
      <c r="K50" s="32"/>
      <c r="L50" s="39"/>
      <c r="M50" s="32"/>
      <c r="N50" s="32"/>
      <c r="O50" s="32"/>
      <c r="P50" s="43"/>
      <c r="Q50" s="43"/>
      <c r="R50" s="43"/>
      <c r="S50" s="43"/>
      <c r="T50" s="2"/>
      <c r="U50" s="32"/>
      <c r="V50" s="32"/>
      <c r="W50" s="32"/>
      <c r="X50" s="32"/>
      <c r="Y50" s="32"/>
      <c r="Z50" s="32"/>
      <c r="AA50" s="32"/>
      <c r="AB50" s="32"/>
      <c r="AC50" s="39"/>
      <c r="AD50" s="32"/>
      <c r="AE50" s="32"/>
      <c r="AF50" s="32"/>
      <c r="AG50" s="43"/>
      <c r="AH50" s="43"/>
      <c r="AI50" s="43"/>
      <c r="AJ50" s="2"/>
      <c r="AK50" s="32"/>
      <c r="AL50" s="32"/>
      <c r="AM50" s="32"/>
      <c r="AN50" s="32"/>
      <c r="AO50" s="32"/>
      <c r="AP50" s="32"/>
      <c r="AQ50" s="32"/>
      <c r="AR50" s="32"/>
      <c r="AS50" s="39"/>
      <c r="AT50" s="32"/>
      <c r="AU50" s="32"/>
      <c r="AV50" s="32"/>
      <c r="AW50" s="43"/>
    </row>
    <row r="51" spans="1:50">
      <c r="A51" s="34"/>
      <c r="B51" s="34"/>
      <c r="C51" s="2" t="s">
        <v>365</v>
      </c>
      <c r="D51" s="16">
        <f t="shared" ref="D51:P51" si="72">D36</f>
        <v>3.8413362817313059</v>
      </c>
      <c r="E51" s="16">
        <f t="shared" si="72"/>
        <v>3.9827278428716819</v>
      </c>
      <c r="F51" s="16">
        <f t="shared" si="72"/>
        <v>3.4646019923734803</v>
      </c>
      <c r="G51" s="16">
        <f t="shared" si="72"/>
        <v>4.4000271562770594</v>
      </c>
      <c r="H51" s="16">
        <f t="shared" si="72"/>
        <v>3.5853008051364541</v>
      </c>
      <c r="I51" s="16">
        <f t="shared" si="72"/>
        <v>4.0344246610219177</v>
      </c>
      <c r="J51" s="16">
        <f t="shared" si="72"/>
        <v>4.4147304044133326</v>
      </c>
      <c r="K51" s="16">
        <f t="shared" si="72"/>
        <v>3.8863900600224532</v>
      </c>
      <c r="L51" s="17">
        <f t="shared" si="72"/>
        <v>3.8487363371247243</v>
      </c>
      <c r="M51" s="16">
        <f t="shared" si="72"/>
        <v>3.5704380200086798</v>
      </c>
      <c r="N51" s="16">
        <f t="shared" si="72"/>
        <v>1.7460450418390023</v>
      </c>
      <c r="O51" s="16">
        <f t="shared" si="72"/>
        <v>2.2673894018080398</v>
      </c>
      <c r="P51" s="34">
        <f t="shared" si="72"/>
        <v>3.8382406141891927</v>
      </c>
      <c r="Q51" s="34">
        <f>Q48/12</f>
        <v>13.154856946062694</v>
      </c>
      <c r="R51" s="34"/>
      <c r="S51" s="34"/>
      <c r="T51" s="2" t="s">
        <v>365</v>
      </c>
      <c r="U51" s="16">
        <f t="shared" ref="U51:AG51" si="73">U36</f>
        <v>3.6158963699748297</v>
      </c>
      <c r="V51" s="16">
        <f t="shared" si="73"/>
        <v>3.8699121536239725</v>
      </c>
      <c r="W51" s="16">
        <f t="shared" si="73"/>
        <v>3.9474414183134257</v>
      </c>
      <c r="X51" s="16">
        <f t="shared" si="73"/>
        <v>3.8942459775430827</v>
      </c>
      <c r="Y51" s="16">
        <f t="shared" si="73"/>
        <v>3.8904286867073017</v>
      </c>
      <c r="Z51" s="16">
        <f t="shared" si="73"/>
        <v>4.0059650589163756</v>
      </c>
      <c r="AA51" s="16">
        <f t="shared" si="73"/>
        <v>4.0740397389063521</v>
      </c>
      <c r="AB51" s="16">
        <f t="shared" si="73"/>
        <v>4.0895175116272853</v>
      </c>
      <c r="AC51" s="17">
        <f t="shared" si="73"/>
        <v>4.1767580710787833</v>
      </c>
      <c r="AD51" s="16">
        <f t="shared" si="73"/>
        <v>4.2214621115661446</v>
      </c>
      <c r="AE51" s="16">
        <f t="shared" si="73"/>
        <v>3.8697134543740153</v>
      </c>
      <c r="AF51" s="16">
        <f t="shared" si="73"/>
        <v>3.8310591483781691</v>
      </c>
      <c r="AG51" s="34">
        <f t="shared" si="73"/>
        <v>4.0222214683502884</v>
      </c>
      <c r="AH51" s="34"/>
      <c r="AI51" s="34"/>
      <c r="AJ51" s="2" t="s">
        <v>365</v>
      </c>
      <c r="AK51" s="16">
        <f t="shared" ref="AK51:AW51" si="74">AK36</f>
        <v>4.1252101931706981</v>
      </c>
      <c r="AL51" s="16">
        <f t="shared" si="74"/>
        <v>4.1500710134046992</v>
      </c>
      <c r="AM51" s="16">
        <f t="shared" si="74"/>
        <v>4.1593521220160152</v>
      </c>
      <c r="AN51" s="16">
        <f t="shared" si="74"/>
        <v>4.2109821136761063</v>
      </c>
      <c r="AO51" s="16">
        <f t="shared" si="74"/>
        <v>4.3465784998996506</v>
      </c>
      <c r="AP51" s="16">
        <f t="shared" si="74"/>
        <v>4.3278486858261047</v>
      </c>
      <c r="AQ51" s="16">
        <f t="shared" si="74"/>
        <v>4.387827630609709</v>
      </c>
      <c r="AR51" s="16">
        <f t="shared" si="74"/>
        <v>4.376478765195011</v>
      </c>
      <c r="AS51" s="17">
        <f t="shared" si="74"/>
        <v>4.4670288799526956</v>
      </c>
      <c r="AT51" s="16">
        <f t="shared" si="74"/>
        <v>4.4280428866838761</v>
      </c>
      <c r="AU51" s="16">
        <f t="shared" si="74"/>
        <v>4.4420920359665272</v>
      </c>
      <c r="AV51" s="16">
        <f t="shared" si="74"/>
        <v>4.4610114245510406</v>
      </c>
      <c r="AW51" s="34">
        <f t="shared" si="74"/>
        <v>4.3577106067797287</v>
      </c>
    </row>
    <row r="52" spans="1:50">
      <c r="A52" s="43"/>
      <c r="B52" s="43"/>
      <c r="C52" s="2" t="s">
        <v>364</v>
      </c>
      <c r="D52" s="32">
        <f t="shared" ref="D52:O52" si="75">D51*D11</f>
        <v>213401.2116616728</v>
      </c>
      <c r="E52" s="32">
        <f t="shared" si="75"/>
        <v>256413.59434305891</v>
      </c>
      <c r="F52" s="32">
        <f t="shared" si="75"/>
        <v>255561.86198483969</v>
      </c>
      <c r="G52" s="32">
        <f t="shared" si="75"/>
        <v>462309.97330459941</v>
      </c>
      <c r="H52" s="32">
        <f t="shared" si="75"/>
        <v>548047.64695283631</v>
      </c>
      <c r="I52" s="32">
        <f t="shared" si="75"/>
        <v>837224.20909773454</v>
      </c>
      <c r="J52" s="32">
        <f t="shared" si="75"/>
        <v>998406.29104145011</v>
      </c>
      <c r="K52" s="32">
        <f t="shared" si="75"/>
        <v>776552.03434127849</v>
      </c>
      <c r="L52" s="39">
        <f t="shared" si="75"/>
        <v>559966.12026545603</v>
      </c>
      <c r="M52" s="32">
        <f t="shared" si="75"/>
        <v>392934.91610940127</v>
      </c>
      <c r="N52" s="32">
        <f t="shared" si="75"/>
        <v>156119.12532595071</v>
      </c>
      <c r="O52" s="32">
        <f t="shared" si="75"/>
        <v>158599.58061660896</v>
      </c>
      <c r="P52" s="43">
        <f>SUM(D52:O52)</f>
        <v>5615536.5650448874</v>
      </c>
      <c r="Q52" s="43"/>
      <c r="R52" s="43"/>
      <c r="S52" s="43"/>
      <c r="T52" s="2" t="s">
        <v>364</v>
      </c>
      <c r="U52" s="32">
        <f t="shared" ref="U52:AF52" si="76">U51*U11</f>
        <v>226651.61626276228</v>
      </c>
      <c r="V52" s="32">
        <f t="shared" si="76"/>
        <v>242573.83361345783</v>
      </c>
      <c r="W52" s="32">
        <f t="shared" si="76"/>
        <v>259516.64116417954</v>
      </c>
      <c r="X52" s="32">
        <f t="shared" si="76"/>
        <v>399409.44444072875</v>
      </c>
      <c r="Y52" s="32">
        <f t="shared" si="76"/>
        <v>572169.23738272954</v>
      </c>
      <c r="Z52" s="32">
        <f t="shared" si="76"/>
        <v>834560.69774151908</v>
      </c>
      <c r="AA52" s="32">
        <f t="shared" si="76"/>
        <v>921221.86576150428</v>
      </c>
      <c r="AB52" s="32">
        <f t="shared" si="76"/>
        <v>771195.07806640607</v>
      </c>
      <c r="AC52" s="39">
        <f t="shared" si="76"/>
        <v>682333.99390274985</v>
      </c>
      <c r="AD52" s="32">
        <f t="shared" si="76"/>
        <v>454144.89396228583</v>
      </c>
      <c r="AE52" s="32">
        <f t="shared" si="76"/>
        <v>298544.52329150093</v>
      </c>
      <c r="AF52" s="32">
        <f t="shared" si="76"/>
        <v>236136.90825815938</v>
      </c>
      <c r="AG52" s="43">
        <f>SUM(U52:AF52)</f>
        <v>5898458.7338479841</v>
      </c>
      <c r="AH52" s="43"/>
      <c r="AI52" s="43"/>
      <c r="AJ52" s="2" t="s">
        <v>364</v>
      </c>
      <c r="AK52" s="32">
        <f t="shared" ref="AK52:AV52" si="77">AK51*AK11</f>
        <v>258576.42532832571</v>
      </c>
      <c r="AL52" s="32">
        <f t="shared" si="77"/>
        <v>260134.75126223336</v>
      </c>
      <c r="AM52" s="32">
        <f t="shared" si="77"/>
        <v>273448.28655769891</v>
      </c>
      <c r="AN52" s="32">
        <f t="shared" si="77"/>
        <v>431895.16950707615</v>
      </c>
      <c r="AO52" s="32">
        <f t="shared" si="77"/>
        <v>639255.64655874157</v>
      </c>
      <c r="AP52" s="32">
        <f t="shared" si="77"/>
        <v>901618.55279380945</v>
      </c>
      <c r="AQ52" s="32">
        <f t="shared" si="77"/>
        <v>992175.58383346745</v>
      </c>
      <c r="AR52" s="32">
        <f t="shared" si="77"/>
        <v>825309.80082232738</v>
      </c>
      <c r="AS52" s="39">
        <f t="shared" si="77"/>
        <v>729753.93945903215</v>
      </c>
      <c r="AT52" s="32">
        <f t="shared" si="77"/>
        <v>476368.8537494514</v>
      </c>
      <c r="AU52" s="32">
        <f t="shared" si="77"/>
        <v>342702.9584827816</v>
      </c>
      <c r="AV52" s="32">
        <f t="shared" si="77"/>
        <v>274965.59168076474</v>
      </c>
      <c r="AW52" s="43">
        <f>SUM(AK52:AV52)</f>
        <v>6406205.5600357093</v>
      </c>
    </row>
    <row r="53" spans="1:50">
      <c r="A53" s="43"/>
      <c r="B53" s="43"/>
      <c r="C53" s="2" t="s">
        <v>619</v>
      </c>
      <c r="D53" s="32">
        <f>D52</f>
        <v>213401.2116616728</v>
      </c>
      <c r="E53" s="32">
        <f t="shared" ref="E53:O53" si="78">D53+E52</f>
        <v>469814.80600473168</v>
      </c>
      <c r="F53" s="32">
        <f t="shared" si="78"/>
        <v>725376.66798957135</v>
      </c>
      <c r="G53" s="32">
        <f t="shared" si="78"/>
        <v>1187686.6412941706</v>
      </c>
      <c r="H53" s="32">
        <f t="shared" si="78"/>
        <v>1735734.2882470069</v>
      </c>
      <c r="I53" s="32">
        <f t="shared" si="78"/>
        <v>2572958.4973447416</v>
      </c>
      <c r="J53" s="32">
        <f t="shared" si="78"/>
        <v>3571364.7883861917</v>
      </c>
      <c r="K53" s="32">
        <f t="shared" si="78"/>
        <v>4347916.8227274697</v>
      </c>
      <c r="L53" s="39">
        <f t="shared" si="78"/>
        <v>4907882.9429929256</v>
      </c>
      <c r="M53" s="32">
        <f t="shared" si="78"/>
        <v>5300817.8591023274</v>
      </c>
      <c r="N53" s="32">
        <f t="shared" si="78"/>
        <v>5456936.9844282782</v>
      </c>
      <c r="O53" s="32">
        <f t="shared" si="78"/>
        <v>5615536.5650448874</v>
      </c>
      <c r="P53" s="43"/>
      <c r="Q53" s="127"/>
      <c r="R53" s="43"/>
      <c r="S53" s="43"/>
      <c r="T53" s="2" t="s">
        <v>366</v>
      </c>
      <c r="U53" s="32">
        <f>U52</f>
        <v>226651.61626276228</v>
      </c>
      <c r="V53" s="32">
        <f t="shared" ref="V53:AF53" si="79">U53+V52</f>
        <v>469225.44987622008</v>
      </c>
      <c r="W53" s="32">
        <f t="shared" si="79"/>
        <v>728742.09104039962</v>
      </c>
      <c r="X53" s="32">
        <f t="shared" si="79"/>
        <v>1128151.5354811284</v>
      </c>
      <c r="Y53" s="32">
        <f t="shared" si="79"/>
        <v>1700320.7728638579</v>
      </c>
      <c r="Z53" s="32">
        <f t="shared" si="79"/>
        <v>2534881.4706053771</v>
      </c>
      <c r="AA53" s="32">
        <f t="shared" si="79"/>
        <v>3456103.3363668816</v>
      </c>
      <c r="AB53" s="32">
        <f t="shared" si="79"/>
        <v>4227298.4144332875</v>
      </c>
      <c r="AC53" s="39">
        <f t="shared" si="79"/>
        <v>4909632.4083360378</v>
      </c>
      <c r="AD53" s="32">
        <f t="shared" si="79"/>
        <v>5363777.3022983233</v>
      </c>
      <c r="AE53" s="32">
        <f t="shared" si="79"/>
        <v>5662321.8255898245</v>
      </c>
      <c r="AF53" s="32">
        <f t="shared" si="79"/>
        <v>5898458.7338479841</v>
      </c>
      <c r="AG53" s="43"/>
      <c r="AH53" s="43"/>
      <c r="AI53" s="43"/>
      <c r="AJ53" s="2" t="s">
        <v>366</v>
      </c>
      <c r="AK53" s="32">
        <f>AK52</f>
        <v>258576.42532832571</v>
      </c>
      <c r="AL53" s="32">
        <f t="shared" ref="AL53:AV53" si="80">AK53+AL52</f>
        <v>518711.17659055907</v>
      </c>
      <c r="AM53" s="32">
        <f t="shared" si="80"/>
        <v>792159.46314825793</v>
      </c>
      <c r="AN53" s="32">
        <f t="shared" si="80"/>
        <v>1224054.6326553342</v>
      </c>
      <c r="AO53" s="32">
        <f t="shared" si="80"/>
        <v>1863310.2792140758</v>
      </c>
      <c r="AP53" s="32">
        <f t="shared" si="80"/>
        <v>2764928.832007885</v>
      </c>
      <c r="AQ53" s="32">
        <f t="shared" si="80"/>
        <v>3757104.4158413522</v>
      </c>
      <c r="AR53" s="32">
        <f t="shared" si="80"/>
        <v>4582414.2166636791</v>
      </c>
      <c r="AS53" s="39">
        <f t="shared" si="80"/>
        <v>5312168.1561227115</v>
      </c>
      <c r="AT53" s="32">
        <f t="shared" si="80"/>
        <v>5788537.0098721627</v>
      </c>
      <c r="AU53" s="32">
        <f t="shared" si="80"/>
        <v>6131239.9683549441</v>
      </c>
      <c r="AV53" s="32">
        <f t="shared" si="80"/>
        <v>6406205.5600357093</v>
      </c>
      <c r="AW53" s="43"/>
    </row>
    <row r="54" spans="1:50" s="37" customFormat="1">
      <c r="A54" s="197"/>
      <c r="B54" s="197"/>
      <c r="C54" s="191" t="s">
        <v>206</v>
      </c>
      <c r="D54" s="192">
        <f t="shared" ref="D54:O54" si="81">SUM(D35,D37)</f>
        <v>2299632.9156107693</v>
      </c>
      <c r="E54" s="192">
        <f t="shared" si="81"/>
        <v>2457881.2431830419</v>
      </c>
      <c r="F54" s="192">
        <f t="shared" si="81"/>
        <v>2425801.1351788267</v>
      </c>
      <c r="G54" s="192">
        <f t="shared" si="81"/>
        <v>3944277.8313945099</v>
      </c>
      <c r="H54" s="192">
        <f t="shared" si="81"/>
        <v>5214278.055954624</v>
      </c>
      <c r="I54" s="192">
        <f t="shared" si="81"/>
        <v>7703859.7300199764</v>
      </c>
      <c r="J54" s="192">
        <f t="shared" si="81"/>
        <v>9278604.5931852981</v>
      </c>
      <c r="K54" s="192">
        <f t="shared" si="81"/>
        <v>7617834.3188165417</v>
      </c>
      <c r="L54" s="192">
        <f t="shared" si="81"/>
        <v>4648655.5456507113</v>
      </c>
      <c r="M54" s="192">
        <f t="shared" si="81"/>
        <v>3382779.51482702</v>
      </c>
      <c r="N54" s="192">
        <f t="shared" si="81"/>
        <v>2007472.1232960478</v>
      </c>
      <c r="O54" s="192">
        <f t="shared" si="81"/>
        <v>1956320.6199739082</v>
      </c>
      <c r="P54" s="42">
        <f>SUM(D54:O54)</f>
        <v>52937397.627091274</v>
      </c>
      <c r="Q54" s="197"/>
      <c r="R54" s="140"/>
      <c r="T54" s="170" t="s">
        <v>206</v>
      </c>
      <c r="U54" s="39">
        <f t="shared" ref="U54:AF54" si="82">SUM(U35,U37)</f>
        <v>2337637.739708012</v>
      </c>
      <c r="V54" s="39">
        <f t="shared" si="82"/>
        <v>2405941.0598365646</v>
      </c>
      <c r="W54" s="39">
        <f t="shared" si="82"/>
        <v>2596686.0925801801</v>
      </c>
      <c r="X54" s="39">
        <f t="shared" si="82"/>
        <v>4130991.2999494411</v>
      </c>
      <c r="Y54" s="39">
        <f t="shared" si="82"/>
        <v>5983944.3988294583</v>
      </c>
      <c r="Z54" s="39">
        <f t="shared" si="82"/>
        <v>8564592.3738798406</v>
      </c>
      <c r="AA54" s="39">
        <f t="shared" si="82"/>
        <v>9421167.7667659223</v>
      </c>
      <c r="AB54" s="39">
        <f t="shared" si="82"/>
        <v>8035066.6214569435</v>
      </c>
      <c r="AC54" s="39">
        <f t="shared" si="82"/>
        <v>6952858.0147031434</v>
      </c>
      <c r="AD54" s="39">
        <f t="shared" si="82"/>
        <v>4479010.9254489569</v>
      </c>
      <c r="AE54" s="39">
        <f t="shared" si="82"/>
        <v>2975455.2752959402</v>
      </c>
      <c r="AF54" s="39">
        <f t="shared" si="82"/>
        <v>2400362.9960215879</v>
      </c>
      <c r="AG54" s="197">
        <f>SUM(U54:AF54)</f>
        <v>60283714.564475991</v>
      </c>
      <c r="AH54" s="197"/>
      <c r="AI54" s="197"/>
      <c r="AJ54" s="170" t="s">
        <v>206</v>
      </c>
      <c r="AK54" s="39">
        <f t="shared" ref="AK54:AV54" si="83">SUM(AK35,AK37)</f>
        <v>2490446.4788649902</v>
      </c>
      <c r="AL54" s="39">
        <f t="shared" si="83"/>
        <v>2497226.9692539708</v>
      </c>
      <c r="AM54" s="39">
        <f t="shared" si="83"/>
        <v>2681294.4514254294</v>
      </c>
      <c r="AN54" s="39">
        <f t="shared" si="83"/>
        <v>4384960.431287433</v>
      </c>
      <c r="AO54" s="39">
        <f t="shared" si="83"/>
        <v>6573720.924607899</v>
      </c>
      <c r="AP54" s="39">
        <f t="shared" si="83"/>
        <v>9235190.103925271</v>
      </c>
      <c r="AQ54" s="39">
        <f t="shared" si="83"/>
        <v>10147071.69937785</v>
      </c>
      <c r="AR54" s="39">
        <f t="shared" si="83"/>
        <v>8588086.7691354025</v>
      </c>
      <c r="AS54" s="39">
        <f t="shared" si="83"/>
        <v>7409945.4840494599</v>
      </c>
      <c r="AT54" s="39">
        <f t="shared" si="83"/>
        <v>4677662.6778119132</v>
      </c>
      <c r="AU54" s="39">
        <f t="shared" si="83"/>
        <v>3239906.4077502638</v>
      </c>
      <c r="AV54" s="39">
        <f t="shared" si="83"/>
        <v>2587774.672065455</v>
      </c>
      <c r="AW54" s="197">
        <f>SUM(AK54:AV54)</f>
        <v>64513287.069555335</v>
      </c>
      <c r="AX54" s="24"/>
    </row>
    <row r="55" spans="1:50">
      <c r="A55" s="43"/>
      <c r="B55" s="43"/>
      <c r="C55" s="2" t="s">
        <v>620</v>
      </c>
      <c r="D55" s="32">
        <f>D54</f>
        <v>2299632.9156107693</v>
      </c>
      <c r="E55" s="32">
        <f t="shared" ref="E55:O55" si="84">E54+D55</f>
        <v>4757514.1587938108</v>
      </c>
      <c r="F55" s="32">
        <f t="shared" si="84"/>
        <v>7183315.2939726375</v>
      </c>
      <c r="G55" s="32">
        <f t="shared" si="84"/>
        <v>11127593.125367148</v>
      </c>
      <c r="H55" s="32">
        <f t="shared" si="84"/>
        <v>16341871.181321772</v>
      </c>
      <c r="I55" s="32">
        <f t="shared" si="84"/>
        <v>24045730.911341749</v>
      </c>
      <c r="J55" s="32">
        <f t="shared" si="84"/>
        <v>33324335.504527047</v>
      </c>
      <c r="K55" s="32">
        <f t="shared" si="84"/>
        <v>40942169.82334359</v>
      </c>
      <c r="L55" s="39">
        <f t="shared" si="84"/>
        <v>45590825.368994303</v>
      </c>
      <c r="M55" s="32">
        <f t="shared" si="84"/>
        <v>48973604.883821324</v>
      </c>
      <c r="N55" s="32">
        <f t="shared" si="84"/>
        <v>50981077.007117368</v>
      </c>
      <c r="O55" s="32">
        <f t="shared" si="84"/>
        <v>52937397.627091274</v>
      </c>
      <c r="P55" s="43"/>
      <c r="Q55" s="43"/>
      <c r="R55" s="43"/>
      <c r="S55" s="43"/>
      <c r="T55" s="2" t="s">
        <v>620</v>
      </c>
      <c r="U55" s="32">
        <f>U54</f>
        <v>2337637.739708012</v>
      </c>
      <c r="V55" s="32">
        <f t="shared" ref="V55:AF55" si="85">V54+U55</f>
        <v>4743578.7995445766</v>
      </c>
      <c r="W55" s="32">
        <f t="shared" si="85"/>
        <v>7340264.8921247572</v>
      </c>
      <c r="X55" s="32">
        <f t="shared" si="85"/>
        <v>11471256.192074198</v>
      </c>
      <c r="Y55" s="32">
        <f t="shared" si="85"/>
        <v>17455200.590903655</v>
      </c>
      <c r="Z55" s="32">
        <f t="shared" si="85"/>
        <v>26019792.964783497</v>
      </c>
      <c r="AA55" s="32">
        <f t="shared" si="85"/>
        <v>35440960.731549419</v>
      </c>
      <c r="AB55" s="32">
        <f t="shared" si="85"/>
        <v>43476027.353006363</v>
      </c>
      <c r="AC55" s="39">
        <f t="shared" si="85"/>
        <v>50428885.367709503</v>
      </c>
      <c r="AD55" s="32">
        <f t="shared" si="85"/>
        <v>54907896.293158457</v>
      </c>
      <c r="AE55" s="32">
        <f t="shared" si="85"/>
        <v>57883351.5684544</v>
      </c>
      <c r="AF55" s="32">
        <f t="shared" si="85"/>
        <v>60283714.564475991</v>
      </c>
      <c r="AG55" s="43"/>
      <c r="AH55" s="43"/>
      <c r="AI55" s="43"/>
      <c r="AJ55" s="2" t="s">
        <v>620</v>
      </c>
      <c r="AK55" s="32">
        <f>AK54</f>
        <v>2490446.4788649902</v>
      </c>
      <c r="AL55" s="32">
        <f t="shared" ref="AL55:AV55" si="86">AL54+AK55</f>
        <v>4987673.4481189605</v>
      </c>
      <c r="AM55" s="32">
        <f t="shared" si="86"/>
        <v>7668967.8995443899</v>
      </c>
      <c r="AN55" s="32">
        <f t="shared" si="86"/>
        <v>12053928.330831822</v>
      </c>
      <c r="AO55" s="32">
        <f t="shared" si="86"/>
        <v>18627649.255439721</v>
      </c>
      <c r="AP55" s="32">
        <f t="shared" si="86"/>
        <v>27862839.359364994</v>
      </c>
      <c r="AQ55" s="32">
        <f t="shared" si="86"/>
        <v>38009911.058742844</v>
      </c>
      <c r="AR55" s="32">
        <f t="shared" si="86"/>
        <v>46597997.827878244</v>
      </c>
      <c r="AS55" s="39">
        <f t="shared" si="86"/>
        <v>54007943.311927706</v>
      </c>
      <c r="AT55" s="32">
        <f t="shared" si="86"/>
        <v>58685605.989739619</v>
      </c>
      <c r="AU55" s="32">
        <f t="shared" si="86"/>
        <v>61925512.397489883</v>
      </c>
      <c r="AV55" s="32">
        <f t="shared" si="86"/>
        <v>64513287.069555335</v>
      </c>
      <c r="AW55" s="43"/>
    </row>
    <row r="56" spans="1:50">
      <c r="A56" s="43"/>
      <c r="B56" s="13"/>
      <c r="C56" s="323" t="s">
        <v>894</v>
      </c>
      <c r="D56" s="32">
        <v>200000</v>
      </c>
      <c r="E56" s="32">
        <v>220000</v>
      </c>
      <c r="F56" s="32">
        <v>100000</v>
      </c>
      <c r="G56" s="32">
        <v>60000</v>
      </c>
      <c r="H56" s="32">
        <v>30000</v>
      </c>
      <c r="I56" s="30">
        <v>0</v>
      </c>
      <c r="J56" s="32">
        <v>0</v>
      </c>
      <c r="K56" s="32">
        <v>0</v>
      </c>
      <c r="L56" s="32">
        <v>40000</v>
      </c>
      <c r="M56" s="32">
        <v>155000</v>
      </c>
      <c r="N56" s="32">
        <v>185000</v>
      </c>
      <c r="O56" s="32">
        <v>190000</v>
      </c>
      <c r="P56" s="169">
        <f>SUM(D56:O56)</f>
        <v>1180000</v>
      </c>
      <c r="Q56" s="43"/>
      <c r="R56" s="43"/>
      <c r="S56" s="43"/>
      <c r="T56" s="170" t="s">
        <v>894</v>
      </c>
      <c r="U56" s="32">
        <v>200000</v>
      </c>
      <c r="V56" s="32">
        <v>220000</v>
      </c>
      <c r="W56" s="32">
        <v>100000</v>
      </c>
      <c r="X56" s="32">
        <v>60000</v>
      </c>
      <c r="Y56" s="32">
        <v>30000</v>
      </c>
      <c r="Z56" s="30">
        <v>0</v>
      </c>
      <c r="AA56" s="32">
        <v>0</v>
      </c>
      <c r="AB56" s="32">
        <v>0</v>
      </c>
      <c r="AC56" s="32">
        <v>40000</v>
      </c>
      <c r="AD56" s="32">
        <v>155000</v>
      </c>
      <c r="AE56" s="32">
        <v>185000</v>
      </c>
      <c r="AF56" s="32">
        <v>190000</v>
      </c>
      <c r="AG56" s="169">
        <f>SUM(U56:AF56)</f>
        <v>1180000</v>
      </c>
      <c r="AH56" s="43"/>
      <c r="AI56" s="43"/>
      <c r="AJ56" s="170" t="s">
        <v>894</v>
      </c>
      <c r="AK56" s="32">
        <v>200000</v>
      </c>
      <c r="AL56" s="32">
        <v>220000</v>
      </c>
      <c r="AM56" s="32">
        <v>100000</v>
      </c>
      <c r="AN56" s="32">
        <v>60000</v>
      </c>
      <c r="AO56" s="32">
        <v>30000</v>
      </c>
      <c r="AP56" s="30">
        <v>0</v>
      </c>
      <c r="AQ56" s="32">
        <v>0</v>
      </c>
      <c r="AR56" s="32">
        <v>0</v>
      </c>
      <c r="AS56" s="32">
        <v>40000</v>
      </c>
      <c r="AT56" s="32">
        <v>155000</v>
      </c>
      <c r="AU56" s="32">
        <v>185000</v>
      </c>
      <c r="AV56" s="32">
        <v>190000</v>
      </c>
      <c r="AW56" s="169">
        <f>SUM(AK56:AV56)</f>
        <v>1180000</v>
      </c>
    </row>
    <row r="57" spans="1:50">
      <c r="A57" s="43"/>
      <c r="B57" s="190"/>
      <c r="C57" s="323" t="s">
        <v>893</v>
      </c>
      <c r="D57" s="30">
        <f>D56</f>
        <v>200000</v>
      </c>
      <c r="E57" s="30">
        <f>D57+E56</f>
        <v>420000</v>
      </c>
      <c r="F57" s="30">
        <f t="shared" ref="F57:O57" si="87">E57+F56</f>
        <v>520000</v>
      </c>
      <c r="G57" s="30">
        <f t="shared" si="87"/>
        <v>580000</v>
      </c>
      <c r="H57" s="30">
        <f t="shared" si="87"/>
        <v>610000</v>
      </c>
      <c r="I57" s="30">
        <f t="shared" si="87"/>
        <v>610000</v>
      </c>
      <c r="J57" s="30">
        <f t="shared" si="87"/>
        <v>610000</v>
      </c>
      <c r="K57" s="30">
        <f t="shared" si="87"/>
        <v>610000</v>
      </c>
      <c r="L57" s="30">
        <f t="shared" si="87"/>
        <v>650000</v>
      </c>
      <c r="M57" s="30">
        <f t="shared" si="87"/>
        <v>805000</v>
      </c>
      <c r="N57" s="30">
        <f t="shared" si="87"/>
        <v>990000</v>
      </c>
      <c r="O57" s="30">
        <f t="shared" si="87"/>
        <v>1180000</v>
      </c>
      <c r="P57" s="43"/>
      <c r="Q57" s="43"/>
      <c r="R57" s="43"/>
      <c r="S57" s="43"/>
      <c r="T57" s="170" t="s">
        <v>893</v>
      </c>
      <c r="U57" s="32">
        <f>U56</f>
        <v>200000</v>
      </c>
      <c r="V57" s="32">
        <f t="shared" ref="V57:AF57" si="88">U57+V56</f>
        <v>420000</v>
      </c>
      <c r="W57" s="32">
        <f t="shared" si="88"/>
        <v>520000</v>
      </c>
      <c r="X57" s="32">
        <f t="shared" si="88"/>
        <v>580000</v>
      </c>
      <c r="Y57" s="32">
        <f t="shared" si="88"/>
        <v>610000</v>
      </c>
      <c r="Z57" s="32">
        <f t="shared" si="88"/>
        <v>610000</v>
      </c>
      <c r="AA57" s="32">
        <f t="shared" si="88"/>
        <v>610000</v>
      </c>
      <c r="AB57" s="32">
        <f t="shared" si="88"/>
        <v>610000</v>
      </c>
      <c r="AC57" s="32">
        <f t="shared" si="88"/>
        <v>650000</v>
      </c>
      <c r="AD57" s="32">
        <f t="shared" si="88"/>
        <v>805000</v>
      </c>
      <c r="AE57" s="32">
        <f t="shared" si="88"/>
        <v>990000</v>
      </c>
      <c r="AF57" s="32">
        <f t="shared" si="88"/>
        <v>1180000</v>
      </c>
      <c r="AG57" s="43"/>
      <c r="AH57" s="43"/>
      <c r="AI57" s="43"/>
      <c r="AJ57" s="170" t="s">
        <v>893</v>
      </c>
      <c r="AK57" s="32">
        <f>AK56</f>
        <v>200000</v>
      </c>
      <c r="AL57" s="32">
        <f t="shared" ref="AL57:AV57" si="89">AK57+AL56</f>
        <v>420000</v>
      </c>
      <c r="AM57" s="32">
        <f t="shared" si="89"/>
        <v>520000</v>
      </c>
      <c r="AN57" s="32">
        <f t="shared" si="89"/>
        <v>580000</v>
      </c>
      <c r="AO57" s="32">
        <f t="shared" si="89"/>
        <v>610000</v>
      </c>
      <c r="AP57" s="32">
        <f t="shared" si="89"/>
        <v>610000</v>
      </c>
      <c r="AQ57" s="32">
        <f t="shared" si="89"/>
        <v>610000</v>
      </c>
      <c r="AR57" s="32">
        <f t="shared" si="89"/>
        <v>610000</v>
      </c>
      <c r="AS57" s="32">
        <f t="shared" si="89"/>
        <v>650000</v>
      </c>
      <c r="AT57" s="32">
        <f t="shared" si="89"/>
        <v>805000</v>
      </c>
      <c r="AU57" s="32">
        <f t="shared" si="89"/>
        <v>990000</v>
      </c>
      <c r="AV57" s="32">
        <f t="shared" si="89"/>
        <v>1180000</v>
      </c>
      <c r="AW57" s="43"/>
    </row>
    <row r="58" spans="1:50">
      <c r="A58" s="43"/>
      <c r="B58" s="43"/>
      <c r="C58" s="191" t="s">
        <v>895</v>
      </c>
      <c r="D58" s="192">
        <f>D54+D56</f>
        <v>2499632.9156107693</v>
      </c>
      <c r="E58" s="192">
        <f t="shared" ref="E58:O58" si="90">E54+E56</f>
        <v>2677881.2431830419</v>
      </c>
      <c r="F58" s="192">
        <f t="shared" si="90"/>
        <v>2525801.1351788267</v>
      </c>
      <c r="G58" s="192">
        <f t="shared" si="90"/>
        <v>4004277.8313945099</v>
      </c>
      <c r="H58" s="192">
        <f t="shared" si="90"/>
        <v>5244278.055954624</v>
      </c>
      <c r="I58" s="192">
        <f t="shared" si="90"/>
        <v>7703859.7300199764</v>
      </c>
      <c r="J58" s="192">
        <f t="shared" si="90"/>
        <v>9278604.5931852981</v>
      </c>
      <c r="K58" s="192">
        <f t="shared" si="90"/>
        <v>7617834.3188165417</v>
      </c>
      <c r="L58" s="192">
        <f t="shared" si="90"/>
        <v>4688655.5456507113</v>
      </c>
      <c r="M58" s="192">
        <f>M54+M56</f>
        <v>3537779.51482702</v>
      </c>
      <c r="N58" s="192">
        <f t="shared" si="90"/>
        <v>2192472.1232960476</v>
      </c>
      <c r="O58" s="192">
        <f t="shared" si="90"/>
        <v>2146320.6199739082</v>
      </c>
      <c r="P58" s="42">
        <f>SUM(D58:O58)</f>
        <v>54117397.627091274</v>
      </c>
      <c r="Q58" s="43"/>
      <c r="R58" s="43"/>
      <c r="S58" s="43"/>
      <c r="T58" s="170" t="s">
        <v>895</v>
      </c>
      <c r="U58" s="39">
        <f>U54+U56</f>
        <v>2537637.739708012</v>
      </c>
      <c r="V58" s="39">
        <f t="shared" ref="V58:AF58" si="91">V54+V56</f>
        <v>2625941.0598365646</v>
      </c>
      <c r="W58" s="39">
        <f t="shared" si="91"/>
        <v>2696686.0925801801</v>
      </c>
      <c r="X58" s="39">
        <f t="shared" si="91"/>
        <v>4190991.2999494411</v>
      </c>
      <c r="Y58" s="39">
        <f t="shared" si="91"/>
        <v>6013944.3988294583</v>
      </c>
      <c r="Z58" s="39">
        <f t="shared" si="91"/>
        <v>8564592.3738798406</v>
      </c>
      <c r="AA58" s="39">
        <f t="shared" si="91"/>
        <v>9421167.7667659223</v>
      </c>
      <c r="AB58" s="39">
        <f t="shared" si="91"/>
        <v>8035066.6214569435</v>
      </c>
      <c r="AC58" s="39">
        <f t="shared" si="91"/>
        <v>6992858.0147031434</v>
      </c>
      <c r="AD58" s="39">
        <f t="shared" si="91"/>
        <v>4634010.9254489569</v>
      </c>
      <c r="AE58" s="39">
        <f t="shared" si="91"/>
        <v>3160455.2752959402</v>
      </c>
      <c r="AF58" s="39">
        <f t="shared" si="91"/>
        <v>2590362.9960215879</v>
      </c>
      <c r="AG58" s="43"/>
      <c r="AH58" s="43"/>
      <c r="AI58" s="43"/>
      <c r="AJ58" s="170" t="s">
        <v>895</v>
      </c>
      <c r="AK58" s="39">
        <f>AK54+AK56</f>
        <v>2690446.4788649902</v>
      </c>
      <c r="AL58" s="39">
        <f t="shared" ref="AL58:AV58" si="92">AL54+AL56</f>
        <v>2717226.9692539708</v>
      </c>
      <c r="AM58" s="39">
        <f t="shared" si="92"/>
        <v>2781294.4514254294</v>
      </c>
      <c r="AN58" s="39">
        <f t="shared" si="92"/>
        <v>4444960.431287433</v>
      </c>
      <c r="AO58" s="39">
        <f t="shared" si="92"/>
        <v>6603720.924607899</v>
      </c>
      <c r="AP58" s="39">
        <f t="shared" si="92"/>
        <v>9235190.103925271</v>
      </c>
      <c r="AQ58" s="39">
        <f t="shared" si="92"/>
        <v>10147071.69937785</v>
      </c>
      <c r="AR58" s="39">
        <f t="shared" si="92"/>
        <v>8588086.7691354025</v>
      </c>
      <c r="AS58" s="39">
        <f t="shared" si="92"/>
        <v>7449945.4840494599</v>
      </c>
      <c r="AT58" s="39">
        <f t="shared" si="92"/>
        <v>4832662.6778119132</v>
      </c>
      <c r="AU58" s="39">
        <f t="shared" si="92"/>
        <v>3424906.4077502638</v>
      </c>
      <c r="AV58" s="39">
        <f t="shared" si="92"/>
        <v>2777774.672065455</v>
      </c>
      <c r="AW58" s="43"/>
    </row>
    <row r="59" spans="1:50">
      <c r="A59" s="43"/>
      <c r="B59" s="43"/>
      <c r="C59" s="2" t="s">
        <v>896</v>
      </c>
      <c r="D59" s="32">
        <f>D55+D57</f>
        <v>2499632.9156107693</v>
      </c>
      <c r="E59" s="32">
        <f t="shared" ref="E59:O59" si="93">E55+E57</f>
        <v>5177514.1587938108</v>
      </c>
      <c r="F59" s="32">
        <f t="shared" si="93"/>
        <v>7703315.2939726375</v>
      </c>
      <c r="G59" s="32">
        <f t="shared" si="93"/>
        <v>11707593.125367148</v>
      </c>
      <c r="H59" s="32">
        <f t="shared" si="93"/>
        <v>16951871.18132177</v>
      </c>
      <c r="I59" s="32">
        <f t="shared" si="93"/>
        <v>24655730.911341749</v>
      </c>
      <c r="J59" s="32">
        <f t="shared" si="93"/>
        <v>33934335.504527047</v>
      </c>
      <c r="K59" s="32">
        <f t="shared" si="93"/>
        <v>41552169.82334359</v>
      </c>
      <c r="L59" s="32">
        <f t="shared" si="93"/>
        <v>46240825.368994303</v>
      </c>
      <c r="M59" s="32">
        <f t="shared" si="93"/>
        <v>49778604.883821324</v>
      </c>
      <c r="N59" s="32">
        <f t="shared" si="93"/>
        <v>51971077.007117368</v>
      </c>
      <c r="O59" s="32">
        <f t="shared" si="93"/>
        <v>54117397.627091274</v>
      </c>
      <c r="P59" s="43"/>
      <c r="Q59" s="43"/>
      <c r="R59" s="43"/>
      <c r="S59" s="43"/>
      <c r="T59" s="2" t="s">
        <v>896</v>
      </c>
      <c r="U59" s="32">
        <f>U55+U57</f>
        <v>2537637.739708012</v>
      </c>
      <c r="V59" s="32">
        <f t="shared" ref="V59:AF59" si="94">V55+V57</f>
        <v>5163578.7995445766</v>
      </c>
      <c r="W59" s="32">
        <f t="shared" si="94"/>
        <v>7860264.8921247572</v>
      </c>
      <c r="X59" s="32">
        <f t="shared" si="94"/>
        <v>12051256.192074198</v>
      </c>
      <c r="Y59" s="32">
        <f t="shared" si="94"/>
        <v>18065200.590903655</v>
      </c>
      <c r="Z59" s="32">
        <f t="shared" si="94"/>
        <v>26629792.964783497</v>
      </c>
      <c r="AA59" s="32">
        <f t="shared" si="94"/>
        <v>36050960.731549419</v>
      </c>
      <c r="AB59" s="32">
        <f t="shared" si="94"/>
        <v>44086027.353006363</v>
      </c>
      <c r="AC59" s="32">
        <f t="shared" si="94"/>
        <v>51078885.367709503</v>
      </c>
      <c r="AD59" s="32">
        <f t="shared" si="94"/>
        <v>55712896.293158457</v>
      </c>
      <c r="AE59" s="32">
        <f t="shared" si="94"/>
        <v>58873351.5684544</v>
      </c>
      <c r="AF59" s="32">
        <f t="shared" si="94"/>
        <v>61463714.564475991</v>
      </c>
      <c r="AG59" s="43"/>
      <c r="AH59" s="43"/>
      <c r="AI59" s="43"/>
      <c r="AJ59" s="170" t="s">
        <v>896</v>
      </c>
      <c r="AK59" s="39">
        <f>AK55+AK57</f>
        <v>2690446.4788649902</v>
      </c>
      <c r="AL59" s="39">
        <f t="shared" ref="AL59:AV59" si="95">AL55+AL57</f>
        <v>5407673.4481189605</v>
      </c>
      <c r="AM59" s="39">
        <f t="shared" si="95"/>
        <v>8188967.8995443899</v>
      </c>
      <c r="AN59" s="39">
        <f t="shared" si="95"/>
        <v>12633928.330831822</v>
      </c>
      <c r="AO59" s="39">
        <f t="shared" si="95"/>
        <v>19237649.255439721</v>
      </c>
      <c r="AP59" s="39">
        <f t="shared" si="95"/>
        <v>28472839.359364994</v>
      </c>
      <c r="AQ59" s="39">
        <f t="shared" si="95"/>
        <v>38619911.058742844</v>
      </c>
      <c r="AR59" s="39">
        <f t="shared" si="95"/>
        <v>47207997.827878244</v>
      </c>
      <c r="AS59" s="39">
        <f t="shared" si="95"/>
        <v>54657943.311927706</v>
      </c>
      <c r="AT59" s="39">
        <f t="shared" si="95"/>
        <v>59490605.989739619</v>
      </c>
      <c r="AU59" s="39">
        <f t="shared" si="95"/>
        <v>62915512.397489883</v>
      </c>
      <c r="AV59" s="39">
        <f t="shared" si="95"/>
        <v>65693287.069555335</v>
      </c>
      <c r="AW59" s="43"/>
    </row>
    <row r="60" spans="1:50">
      <c r="A60" s="43"/>
      <c r="B60" s="454"/>
      <c r="C60" s="8" t="s">
        <v>126</v>
      </c>
      <c r="D60" s="393">
        <v>155656.85999999999</v>
      </c>
      <c r="E60" s="393">
        <v>166031.69</v>
      </c>
      <c r="F60" s="393">
        <v>176229.64</v>
      </c>
      <c r="G60" s="393">
        <v>171951.19</v>
      </c>
      <c r="H60" s="393">
        <v>166741.39000000001</v>
      </c>
      <c r="I60" s="393">
        <v>170871.49</v>
      </c>
      <c r="J60" s="393">
        <v>152869.35</v>
      </c>
      <c r="K60" s="393">
        <v>129335.56</v>
      </c>
      <c r="L60" s="393">
        <v>134635.10999999999</v>
      </c>
      <c r="M60" s="393">
        <v>128146.62</v>
      </c>
      <c r="N60" s="393">
        <v>127996</v>
      </c>
      <c r="O60" s="188">
        <v>150000</v>
      </c>
      <c r="P60" s="43">
        <f>SUM(D60:O60)</f>
        <v>1830464.9000000004</v>
      </c>
      <c r="Q60" s="34"/>
      <c r="R60" s="43"/>
      <c r="S60" s="43"/>
      <c r="T60" s="170" t="s">
        <v>126</v>
      </c>
      <c r="U60" s="39">
        <v>150000</v>
      </c>
      <c r="V60" s="39">
        <v>150000</v>
      </c>
      <c r="W60" s="39">
        <v>150000</v>
      </c>
      <c r="X60" s="39">
        <v>150000</v>
      </c>
      <c r="Y60" s="39">
        <v>150000</v>
      </c>
      <c r="Z60" s="39">
        <v>150000</v>
      </c>
      <c r="AA60" s="39">
        <v>150000</v>
      </c>
      <c r="AB60" s="39">
        <v>150000</v>
      </c>
      <c r="AC60" s="39">
        <v>150000</v>
      </c>
      <c r="AD60" s="39">
        <v>150000</v>
      </c>
      <c r="AE60" s="39">
        <v>150000</v>
      </c>
      <c r="AF60" s="39">
        <v>150000</v>
      </c>
      <c r="AG60" s="43">
        <f>SUM(U60:AF60)</f>
        <v>1800000</v>
      </c>
      <c r="AH60" s="43"/>
      <c r="AI60" s="43"/>
      <c r="AJ60" s="2" t="s">
        <v>126</v>
      </c>
      <c r="AK60" s="32">
        <v>150000</v>
      </c>
      <c r="AL60" s="32">
        <v>150000</v>
      </c>
      <c r="AM60" s="32">
        <v>150000</v>
      </c>
      <c r="AN60" s="32">
        <v>150000</v>
      </c>
      <c r="AO60" s="32">
        <v>150000</v>
      </c>
      <c r="AP60" s="32">
        <v>150000</v>
      </c>
      <c r="AQ60" s="32">
        <v>150000</v>
      </c>
      <c r="AR60" s="32">
        <v>150000</v>
      </c>
      <c r="AS60" s="32">
        <v>150000</v>
      </c>
      <c r="AT60" s="32">
        <v>150000</v>
      </c>
      <c r="AU60" s="32">
        <v>150000</v>
      </c>
      <c r="AV60" s="32">
        <v>150000</v>
      </c>
      <c r="AW60" s="43">
        <f>SUM(AK60:AV60)</f>
        <v>1800000</v>
      </c>
    </row>
    <row r="61" spans="1:50" s="37" customFormat="1">
      <c r="A61" s="197"/>
      <c r="B61" s="197"/>
      <c r="C61" s="191" t="s">
        <v>210</v>
      </c>
      <c r="D61" s="192">
        <f t="shared" ref="D61:O61" si="96">D54+D60</f>
        <v>2455289.7756107692</v>
      </c>
      <c r="E61" s="192">
        <f t="shared" si="96"/>
        <v>2623912.9331830419</v>
      </c>
      <c r="F61" s="192">
        <f t="shared" si="96"/>
        <v>2602030.7751788269</v>
      </c>
      <c r="G61" s="192">
        <f t="shared" si="96"/>
        <v>4116229.0213945098</v>
      </c>
      <c r="H61" s="192">
        <f t="shared" si="96"/>
        <v>5381019.4459546236</v>
      </c>
      <c r="I61" s="192">
        <f t="shared" si="96"/>
        <v>7874731.2200199766</v>
      </c>
      <c r="J61" s="192">
        <f t="shared" si="96"/>
        <v>9431473.9431852978</v>
      </c>
      <c r="K61" s="192">
        <f t="shared" si="96"/>
        <v>7747169.8788165413</v>
      </c>
      <c r="L61" s="192">
        <f t="shared" si="96"/>
        <v>4783290.6556507116</v>
      </c>
      <c r="M61" s="192">
        <f t="shared" si="96"/>
        <v>3510926.1348270201</v>
      </c>
      <c r="N61" s="192">
        <f t="shared" si="96"/>
        <v>2135468.1232960476</v>
      </c>
      <c r="O61" s="192">
        <f t="shared" si="96"/>
        <v>2106320.6199739082</v>
      </c>
      <c r="P61" s="42">
        <f>SUM(D61:O61)</f>
        <v>54767862.527091272</v>
      </c>
      <c r="Q61" s="197"/>
      <c r="R61" s="197"/>
      <c r="S61" s="197"/>
      <c r="T61" s="170" t="s">
        <v>210</v>
      </c>
      <c r="U61" s="39">
        <f t="shared" ref="U61:AF61" si="97">U54+U60</f>
        <v>2487637.739708012</v>
      </c>
      <c r="V61" s="39">
        <f t="shared" si="97"/>
        <v>2555941.0598365646</v>
      </c>
      <c r="W61" s="39">
        <f t="shared" si="97"/>
        <v>2746686.0925801801</v>
      </c>
      <c r="X61" s="39">
        <f t="shared" si="97"/>
        <v>4280991.2999494411</v>
      </c>
      <c r="Y61" s="39">
        <f t="shared" si="97"/>
        <v>6133944.3988294583</v>
      </c>
      <c r="Z61" s="39">
        <f t="shared" si="97"/>
        <v>8714592.3738798406</v>
      </c>
      <c r="AA61" s="39">
        <f t="shared" si="97"/>
        <v>9571167.7667659223</v>
      </c>
      <c r="AB61" s="39">
        <f t="shared" si="97"/>
        <v>8185066.6214569435</v>
      </c>
      <c r="AC61" s="39">
        <f t="shared" si="97"/>
        <v>7102858.0147031434</v>
      </c>
      <c r="AD61" s="39">
        <f t="shared" si="97"/>
        <v>4629010.9254489569</v>
      </c>
      <c r="AE61" s="39">
        <f t="shared" si="97"/>
        <v>3125455.2752959402</v>
      </c>
      <c r="AF61" s="39">
        <f t="shared" si="97"/>
        <v>2550362.9960215879</v>
      </c>
      <c r="AG61" s="39">
        <f>SUM(U61:AF61)</f>
        <v>62083714.564475991</v>
      </c>
      <c r="AH61" s="197"/>
      <c r="AI61" s="197"/>
      <c r="AJ61" s="170" t="s">
        <v>210</v>
      </c>
      <c r="AK61" s="39">
        <f t="shared" ref="AK61:AV61" si="98">AK54+AK60</f>
        <v>2640446.4788649902</v>
      </c>
      <c r="AL61" s="39">
        <f t="shared" si="98"/>
        <v>2647226.9692539708</v>
      </c>
      <c r="AM61" s="39">
        <f t="shared" si="98"/>
        <v>2831294.4514254294</v>
      </c>
      <c r="AN61" s="39">
        <f t="shared" si="98"/>
        <v>4534960.431287433</v>
      </c>
      <c r="AO61" s="39">
        <f t="shared" si="98"/>
        <v>6723720.924607899</v>
      </c>
      <c r="AP61" s="39">
        <f t="shared" si="98"/>
        <v>9385190.103925271</v>
      </c>
      <c r="AQ61" s="39">
        <f t="shared" si="98"/>
        <v>10297071.69937785</v>
      </c>
      <c r="AR61" s="39">
        <f t="shared" si="98"/>
        <v>8738086.7691354025</v>
      </c>
      <c r="AS61" s="39">
        <f t="shared" si="98"/>
        <v>7559945.4840494599</v>
      </c>
      <c r="AT61" s="39">
        <f t="shared" si="98"/>
        <v>4827662.6778119132</v>
      </c>
      <c r="AU61" s="39">
        <f t="shared" si="98"/>
        <v>3389906.4077502638</v>
      </c>
      <c r="AV61" s="39">
        <f t="shared" si="98"/>
        <v>2737774.672065455</v>
      </c>
      <c r="AW61" s="39">
        <f>SUM(AK61:AV61)</f>
        <v>66313287.069555335</v>
      </c>
      <c r="AX61" s="24"/>
    </row>
    <row r="62" spans="1:50">
      <c r="A62" s="43"/>
      <c r="B62" s="43"/>
      <c r="C62" s="2" t="s">
        <v>621</v>
      </c>
      <c r="D62" s="32">
        <f>D61</f>
        <v>2455289.7756107692</v>
      </c>
      <c r="E62" s="32">
        <f t="shared" ref="E62:O62" si="99">D62+E61</f>
        <v>5079202.7087938115</v>
      </c>
      <c r="F62" s="32">
        <f t="shared" si="99"/>
        <v>7681233.4839726388</v>
      </c>
      <c r="G62" s="32">
        <f t="shared" si="99"/>
        <v>11797462.505367149</v>
      </c>
      <c r="H62" s="32">
        <f t="shared" si="99"/>
        <v>17178481.951321773</v>
      </c>
      <c r="I62" s="32">
        <f t="shared" si="99"/>
        <v>25053213.171341751</v>
      </c>
      <c r="J62" s="32">
        <f t="shared" si="99"/>
        <v>34484687.114527047</v>
      </c>
      <c r="K62" s="32">
        <f t="shared" si="99"/>
        <v>42231856.993343592</v>
      </c>
      <c r="L62" s="39">
        <f t="shared" si="99"/>
        <v>47015147.648994304</v>
      </c>
      <c r="M62" s="32">
        <f t="shared" si="99"/>
        <v>50526073.783821322</v>
      </c>
      <c r="N62" s="32">
        <f t="shared" si="99"/>
        <v>52661541.907117367</v>
      </c>
      <c r="O62" s="32">
        <f t="shared" si="99"/>
        <v>54767862.527091272</v>
      </c>
      <c r="P62" s="43"/>
      <c r="Q62" s="43"/>
      <c r="R62" s="43"/>
      <c r="S62" s="43"/>
      <c r="T62" s="2" t="s">
        <v>621</v>
      </c>
      <c r="U62" s="32">
        <f>U61</f>
        <v>2487637.739708012</v>
      </c>
      <c r="V62" s="32">
        <f t="shared" ref="V62:AF62" si="100">U62+V61</f>
        <v>5043578.7995445766</v>
      </c>
      <c r="W62" s="32">
        <f t="shared" si="100"/>
        <v>7790264.8921247572</v>
      </c>
      <c r="X62" s="32">
        <f t="shared" si="100"/>
        <v>12071256.192074198</v>
      </c>
      <c r="Y62" s="32">
        <f t="shared" si="100"/>
        <v>18205200.590903655</v>
      </c>
      <c r="Z62" s="32">
        <f t="shared" si="100"/>
        <v>26919792.964783497</v>
      </c>
      <c r="AA62" s="32">
        <f t="shared" si="100"/>
        <v>36490960.731549419</v>
      </c>
      <c r="AB62" s="32">
        <f t="shared" si="100"/>
        <v>44676027.353006363</v>
      </c>
      <c r="AC62" s="39">
        <f t="shared" si="100"/>
        <v>51778885.367709503</v>
      </c>
      <c r="AD62" s="32">
        <f t="shared" si="100"/>
        <v>56407896.293158457</v>
      </c>
      <c r="AE62" s="32">
        <f t="shared" si="100"/>
        <v>59533351.5684544</v>
      </c>
      <c r="AF62" s="32">
        <f t="shared" si="100"/>
        <v>62083714.564475991</v>
      </c>
      <c r="AG62" s="43"/>
      <c r="AH62" s="43"/>
      <c r="AI62" s="43"/>
      <c r="AJ62" s="2" t="s">
        <v>211</v>
      </c>
      <c r="AK62" s="32">
        <f>AK61</f>
        <v>2640446.4788649902</v>
      </c>
      <c r="AL62" s="32">
        <f t="shared" ref="AL62:AV62" si="101">AK62+AL61</f>
        <v>5287673.4481189605</v>
      </c>
      <c r="AM62" s="32">
        <f t="shared" si="101"/>
        <v>8118967.8995443899</v>
      </c>
      <c r="AN62" s="32">
        <f t="shared" si="101"/>
        <v>12653928.330831822</v>
      </c>
      <c r="AO62" s="32">
        <f t="shared" si="101"/>
        <v>19377649.255439721</v>
      </c>
      <c r="AP62" s="32">
        <f t="shared" si="101"/>
        <v>28762839.359364994</v>
      </c>
      <c r="AQ62" s="32">
        <f t="shared" si="101"/>
        <v>39059911.058742844</v>
      </c>
      <c r="AR62" s="32">
        <f t="shared" si="101"/>
        <v>47797997.827878244</v>
      </c>
      <c r="AS62" s="39">
        <f t="shared" si="101"/>
        <v>55357943.311927706</v>
      </c>
      <c r="AT62" s="32">
        <f t="shared" si="101"/>
        <v>60185605.989739619</v>
      </c>
      <c r="AU62" s="32">
        <f t="shared" si="101"/>
        <v>63575512.397489883</v>
      </c>
      <c r="AV62" s="32">
        <f t="shared" si="101"/>
        <v>66313287.069555335</v>
      </c>
      <c r="AW62" s="43"/>
    </row>
    <row r="63" spans="1:50">
      <c r="A63" s="43"/>
      <c r="B63" s="43"/>
      <c r="C63" s="2"/>
      <c r="D63" s="16"/>
      <c r="E63" s="32"/>
      <c r="F63" s="32"/>
      <c r="G63" s="16"/>
      <c r="H63" s="32"/>
      <c r="I63" s="32"/>
      <c r="J63" s="32"/>
      <c r="K63" s="32"/>
      <c r="L63" s="39"/>
      <c r="M63" s="32"/>
      <c r="N63" s="32"/>
      <c r="O63" s="32"/>
      <c r="P63" s="43"/>
      <c r="Q63" s="43"/>
      <c r="R63" s="43"/>
      <c r="S63" s="43"/>
      <c r="T63" s="2"/>
      <c r="U63" s="32"/>
      <c r="V63" s="32"/>
      <c r="W63" s="32"/>
      <c r="X63" s="32"/>
      <c r="Y63" s="32"/>
      <c r="Z63" s="32"/>
      <c r="AA63" s="32"/>
      <c r="AB63" s="32"/>
      <c r="AC63" s="39"/>
      <c r="AD63" s="32"/>
      <c r="AE63" s="32"/>
      <c r="AF63" s="32"/>
      <c r="AG63" s="43"/>
      <c r="AH63" s="43"/>
      <c r="AI63" s="43"/>
      <c r="AJ63" s="2"/>
      <c r="AK63" s="32"/>
      <c r="AL63" s="32"/>
      <c r="AM63" s="32"/>
      <c r="AN63" s="32"/>
      <c r="AO63" s="32"/>
      <c r="AP63" s="32"/>
      <c r="AQ63" s="32"/>
      <c r="AR63" s="32"/>
      <c r="AS63" s="39"/>
      <c r="AT63" s="32"/>
      <c r="AU63" s="32"/>
      <c r="AV63" s="32"/>
      <c r="AW63" s="43"/>
    </row>
    <row r="64" spans="1:50">
      <c r="A64" s="22"/>
      <c r="B64" s="22"/>
      <c r="C64" s="6" t="s">
        <v>72</v>
      </c>
      <c r="D64" s="28">
        <f>+'NON-PGC HEDGE '!B27</f>
        <v>41207.699999999997</v>
      </c>
      <c r="E64" s="28">
        <f>+'NON-PGC HEDGE '!C27</f>
        <v>49269.5</v>
      </c>
      <c r="F64" s="28">
        <f>+'NON-PGC HEDGE '!D27</f>
        <v>42827.6</v>
      </c>
      <c r="G64" s="28">
        <f>+'NON-PGC HEDGE '!E27</f>
        <v>53890.9</v>
      </c>
      <c r="H64" s="28">
        <f>+'NON-PGC HEDGE '!F33</f>
        <v>81000</v>
      </c>
      <c r="I64" s="28">
        <f>+'NON-PGC HEDGE '!G33</f>
        <v>97650</v>
      </c>
      <c r="J64" s="28">
        <f>+'NON-PGC HEDGE '!H33</f>
        <v>97650</v>
      </c>
      <c r="K64" s="28">
        <f>+'NON-PGC HEDGE '!I33</f>
        <v>91350</v>
      </c>
      <c r="L64" s="28">
        <f>+'NON-PGC HEDGE '!J33</f>
        <v>83700</v>
      </c>
      <c r="M64" s="22">
        <v>0</v>
      </c>
      <c r="N64" s="22">
        <v>0</v>
      </c>
      <c r="O64" s="22">
        <v>0</v>
      </c>
      <c r="P64" s="59">
        <f>SUM(D64:O64)</f>
        <v>638545.69999999995</v>
      </c>
      <c r="Q64" s="22"/>
      <c r="R64" s="22"/>
      <c r="S64" s="22"/>
      <c r="T64" s="6" t="s">
        <v>72</v>
      </c>
      <c r="U64" s="28">
        <v>0</v>
      </c>
      <c r="V64" s="28">
        <v>0</v>
      </c>
      <c r="W64" s="28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8">
        <v>0</v>
      </c>
      <c r="AD64" s="22">
        <v>0</v>
      </c>
      <c r="AE64" s="22">
        <v>0</v>
      </c>
      <c r="AF64" s="22">
        <v>0</v>
      </c>
      <c r="AG64" s="22">
        <f>SUM(U64:AF64)</f>
        <v>0</v>
      </c>
      <c r="AH64" s="22"/>
      <c r="AI64" s="22"/>
      <c r="AJ64" s="6" t="s">
        <v>72</v>
      </c>
      <c r="AK64" s="28">
        <v>0</v>
      </c>
      <c r="AL64" s="28">
        <v>0</v>
      </c>
      <c r="AM64" s="28">
        <v>0</v>
      </c>
      <c r="AN64" s="22">
        <v>0</v>
      </c>
      <c r="AO64" s="22">
        <v>0</v>
      </c>
      <c r="AP64" s="22">
        <v>0</v>
      </c>
      <c r="AQ64" s="22">
        <v>0</v>
      </c>
      <c r="AR64" s="22">
        <v>0</v>
      </c>
      <c r="AS64" s="28">
        <v>0</v>
      </c>
      <c r="AT64" s="22">
        <v>0</v>
      </c>
      <c r="AU64" s="22">
        <v>0</v>
      </c>
      <c r="AV64" s="22">
        <v>0</v>
      </c>
      <c r="AW64" s="22">
        <f>SUM(AK64:AV64)</f>
        <v>0</v>
      </c>
    </row>
    <row r="65" spans="1:50">
      <c r="C65" s="6" t="s">
        <v>105</v>
      </c>
      <c r="D65" s="16">
        <f>+'NON-PGC HEDGE '!B35</f>
        <v>4.7</v>
      </c>
      <c r="E65" s="16">
        <f>+'NON-PGC HEDGE '!C35</f>
        <v>4.7</v>
      </c>
      <c r="F65" s="16">
        <f>+'NON-PGC HEDGE '!D35</f>
        <v>4.7</v>
      </c>
      <c r="G65" s="16">
        <f>+'NON-PGC HEDGE '!E35</f>
        <v>4.7</v>
      </c>
      <c r="H65" s="16">
        <v>4.72</v>
      </c>
      <c r="I65" s="16">
        <v>4.72</v>
      </c>
      <c r="J65" s="16">
        <v>4.72</v>
      </c>
      <c r="K65" s="16">
        <v>4.72</v>
      </c>
      <c r="L65" s="16">
        <v>4.72</v>
      </c>
      <c r="M65" s="16"/>
      <c r="N65" s="16"/>
      <c r="O65" s="16"/>
      <c r="T65" s="6" t="s">
        <v>105</v>
      </c>
      <c r="U65" s="16"/>
      <c r="V65" s="16"/>
      <c r="W65" s="16"/>
      <c r="X65" s="16"/>
      <c r="Y65" s="16"/>
      <c r="Z65" s="16"/>
      <c r="AA65" s="16"/>
      <c r="AB65" s="16"/>
      <c r="AC65" s="17"/>
      <c r="AD65" s="16"/>
      <c r="AE65" s="16"/>
      <c r="AF65" s="16"/>
      <c r="AJ65" s="6" t="s">
        <v>105</v>
      </c>
      <c r="AK65" s="16"/>
      <c r="AL65" s="16"/>
      <c r="AM65" s="16"/>
      <c r="AN65" s="16"/>
      <c r="AO65" s="16"/>
      <c r="AP65" s="16"/>
      <c r="AQ65" s="16"/>
      <c r="AR65" s="16"/>
      <c r="AS65" s="17"/>
      <c r="AT65" s="16"/>
      <c r="AU65" s="16"/>
      <c r="AV65" s="16"/>
    </row>
    <row r="66" spans="1:50">
      <c r="A66" s="32"/>
      <c r="B66" s="32"/>
      <c r="C66" s="6" t="s">
        <v>73</v>
      </c>
      <c r="D66" s="32">
        <f t="shared" ref="D66:O66" si="102">D64*D65</f>
        <v>193676.19</v>
      </c>
      <c r="E66" s="32">
        <f t="shared" si="102"/>
        <v>231566.65000000002</v>
      </c>
      <c r="F66" s="32">
        <f t="shared" si="102"/>
        <v>201289.72</v>
      </c>
      <c r="G66" s="32">
        <f t="shared" si="102"/>
        <v>253287.23</v>
      </c>
      <c r="H66" s="32">
        <f t="shared" si="102"/>
        <v>382320</v>
      </c>
      <c r="I66" s="32">
        <f t="shared" si="102"/>
        <v>460908</v>
      </c>
      <c r="J66" s="32">
        <f t="shared" si="102"/>
        <v>460908</v>
      </c>
      <c r="K66" s="32">
        <f t="shared" si="102"/>
        <v>431172</v>
      </c>
      <c r="L66" s="39">
        <f t="shared" si="102"/>
        <v>395064</v>
      </c>
      <c r="M66" s="32">
        <f t="shared" si="102"/>
        <v>0</v>
      </c>
      <c r="N66" s="32">
        <f t="shared" si="102"/>
        <v>0</v>
      </c>
      <c r="O66" s="32">
        <f t="shared" si="102"/>
        <v>0</v>
      </c>
      <c r="P66" s="43">
        <f>SUM(D66:O66)</f>
        <v>3010191.79</v>
      </c>
      <c r="Q66" s="32"/>
      <c r="R66" s="32"/>
      <c r="S66" s="32"/>
      <c r="T66" s="6" t="s">
        <v>73</v>
      </c>
      <c r="U66" s="32">
        <f t="shared" ref="U66:AF66" si="103">U64*U65</f>
        <v>0</v>
      </c>
      <c r="V66" s="32">
        <f t="shared" si="103"/>
        <v>0</v>
      </c>
      <c r="W66" s="32">
        <f t="shared" si="103"/>
        <v>0</v>
      </c>
      <c r="X66" s="32">
        <f t="shared" si="103"/>
        <v>0</v>
      </c>
      <c r="Y66" s="32">
        <f t="shared" si="103"/>
        <v>0</v>
      </c>
      <c r="Z66" s="32">
        <f t="shared" si="103"/>
        <v>0</v>
      </c>
      <c r="AA66" s="32">
        <f t="shared" si="103"/>
        <v>0</v>
      </c>
      <c r="AB66" s="32">
        <f t="shared" si="103"/>
        <v>0</v>
      </c>
      <c r="AC66" s="39">
        <f t="shared" si="103"/>
        <v>0</v>
      </c>
      <c r="AD66" s="32">
        <f t="shared" si="103"/>
        <v>0</v>
      </c>
      <c r="AE66" s="32">
        <f t="shared" si="103"/>
        <v>0</v>
      </c>
      <c r="AF66" s="32">
        <f t="shared" si="103"/>
        <v>0</v>
      </c>
      <c r="AG66" s="32">
        <f>SUM(U66:AF66)</f>
        <v>0</v>
      </c>
      <c r="AH66" s="32"/>
      <c r="AI66" s="32"/>
      <c r="AJ66" s="6" t="s">
        <v>73</v>
      </c>
      <c r="AK66" s="32">
        <f t="shared" ref="AK66:AV66" si="104">AK64*AK65</f>
        <v>0</v>
      </c>
      <c r="AL66" s="32">
        <f t="shared" si="104"/>
        <v>0</v>
      </c>
      <c r="AM66" s="32">
        <f t="shared" si="104"/>
        <v>0</v>
      </c>
      <c r="AN66" s="32">
        <f t="shared" si="104"/>
        <v>0</v>
      </c>
      <c r="AO66" s="32">
        <f t="shared" si="104"/>
        <v>0</v>
      </c>
      <c r="AP66" s="32">
        <f t="shared" si="104"/>
        <v>0</v>
      </c>
      <c r="AQ66" s="32">
        <f t="shared" si="104"/>
        <v>0</v>
      </c>
      <c r="AR66" s="32">
        <f t="shared" si="104"/>
        <v>0</v>
      </c>
      <c r="AS66" s="39">
        <f t="shared" si="104"/>
        <v>0</v>
      </c>
      <c r="AT66" s="32">
        <f t="shared" si="104"/>
        <v>0</v>
      </c>
      <c r="AU66" s="32">
        <f t="shared" si="104"/>
        <v>0</v>
      </c>
      <c r="AV66" s="32">
        <f t="shared" si="104"/>
        <v>0</v>
      </c>
      <c r="AW66" s="32">
        <f>SUM(AK66:AV66)</f>
        <v>0</v>
      </c>
    </row>
    <row r="67" spans="1:50">
      <c r="A67" s="22"/>
      <c r="B67" s="22"/>
      <c r="C67" s="7" t="s">
        <v>74</v>
      </c>
      <c r="D67" s="22">
        <f t="shared" ref="D67:O67" si="105">D13-D64</f>
        <v>175603.40000000002</v>
      </c>
      <c r="E67" s="22">
        <f t="shared" si="105"/>
        <v>191066.9</v>
      </c>
      <c r="F67" s="22">
        <f t="shared" si="105"/>
        <v>212952.19999999998</v>
      </c>
      <c r="G67" s="28">
        <f t="shared" si="105"/>
        <v>221548.9</v>
      </c>
      <c r="H67" s="22">
        <f t="shared" si="105"/>
        <v>249773.90000000002</v>
      </c>
      <c r="I67" s="22">
        <f t="shared" si="105"/>
        <v>260204.10000000003</v>
      </c>
      <c r="J67" s="22">
        <f t="shared" si="105"/>
        <v>274387</v>
      </c>
      <c r="K67" s="22">
        <f t="shared" si="105"/>
        <v>260965.7</v>
      </c>
      <c r="L67" s="28">
        <f t="shared" si="105"/>
        <v>216281</v>
      </c>
      <c r="M67" s="22">
        <f t="shared" si="105"/>
        <v>269909.3</v>
      </c>
      <c r="N67" s="22">
        <f t="shared" si="105"/>
        <v>247803</v>
      </c>
      <c r="O67" s="22">
        <f t="shared" si="105"/>
        <v>229430.5</v>
      </c>
      <c r="P67" s="59">
        <f>SUM(D67:O67)</f>
        <v>2809925.9</v>
      </c>
      <c r="Q67" s="22"/>
      <c r="R67" s="22"/>
      <c r="S67" s="22"/>
      <c r="T67" s="7" t="s">
        <v>74</v>
      </c>
      <c r="U67" s="22">
        <f t="shared" ref="U67:AF67" si="106">U13-U64</f>
        <v>224940</v>
      </c>
      <c r="V67" s="22">
        <f t="shared" si="106"/>
        <v>239240</v>
      </c>
      <c r="W67" s="22">
        <f t="shared" si="106"/>
        <v>254540</v>
      </c>
      <c r="X67" s="22">
        <f t="shared" si="106"/>
        <v>278940</v>
      </c>
      <c r="Y67" s="22">
        <f t="shared" si="106"/>
        <v>336440</v>
      </c>
      <c r="Z67" s="22">
        <f t="shared" si="106"/>
        <v>427440</v>
      </c>
      <c r="AA67" s="22">
        <f t="shared" si="106"/>
        <v>449440</v>
      </c>
      <c r="AB67" s="22">
        <f t="shared" si="106"/>
        <v>367440</v>
      </c>
      <c r="AC67" s="28">
        <f t="shared" si="106"/>
        <v>329440</v>
      </c>
      <c r="AD67" s="22">
        <f t="shared" si="106"/>
        <v>310440</v>
      </c>
      <c r="AE67" s="22">
        <f t="shared" si="106"/>
        <v>244940</v>
      </c>
      <c r="AF67" s="22">
        <f t="shared" si="106"/>
        <v>249440</v>
      </c>
      <c r="AG67" s="22">
        <f>SUM(U67:AF67)</f>
        <v>3712680</v>
      </c>
      <c r="AH67" s="22"/>
      <c r="AI67" s="22"/>
      <c r="AJ67" s="7" t="s">
        <v>74</v>
      </c>
      <c r="AK67" s="22">
        <f t="shared" ref="AK67:AV67" si="107">AK13-AK64</f>
        <v>236500</v>
      </c>
      <c r="AL67" s="22">
        <f t="shared" si="107"/>
        <v>251500</v>
      </c>
      <c r="AM67" s="22">
        <f t="shared" si="107"/>
        <v>257200</v>
      </c>
      <c r="AN67" s="22">
        <f t="shared" si="107"/>
        <v>291700</v>
      </c>
      <c r="AO67" s="22">
        <f t="shared" si="107"/>
        <v>346200</v>
      </c>
      <c r="AP67" s="22">
        <f t="shared" si="107"/>
        <v>445200</v>
      </c>
      <c r="AQ67" s="22">
        <f t="shared" si="107"/>
        <v>466200</v>
      </c>
      <c r="AR67" s="22">
        <f t="shared" si="107"/>
        <v>373200</v>
      </c>
      <c r="AS67" s="28">
        <f t="shared" si="107"/>
        <v>338200</v>
      </c>
      <c r="AT67" s="22">
        <f t="shared" si="107"/>
        <v>320200</v>
      </c>
      <c r="AU67" s="22">
        <f t="shared" si="107"/>
        <v>257700</v>
      </c>
      <c r="AV67" s="22">
        <f t="shared" si="107"/>
        <v>257200</v>
      </c>
      <c r="AW67" s="22">
        <f>SUM(AK67:AV67)</f>
        <v>3841000</v>
      </c>
    </row>
    <row r="68" spans="1:50" s="99" customFormat="1">
      <c r="A68" s="16"/>
      <c r="B68" s="16"/>
      <c r="C68" s="216" t="s">
        <v>106</v>
      </c>
      <c r="D68" s="420">
        <f>+'FT GAS'!G123</f>
        <v>4.919790575916231</v>
      </c>
      <c r="E68" s="420">
        <f>+'FT GAS'!H123</f>
        <v>4.8784642233856905</v>
      </c>
      <c r="F68" s="420">
        <f>+'FT GAS'!I123</f>
        <v>4.3613263525305417</v>
      </c>
      <c r="G68" s="420">
        <f>+'FT GAS'!J123</f>
        <v>4.2518673647469463</v>
      </c>
      <c r="H68" s="420">
        <f>+'FT GAS'!K123</f>
        <v>3.9893891797556722</v>
      </c>
      <c r="I68" s="420">
        <f>+'FT GAS'!L123</f>
        <v>3.8106806282722512</v>
      </c>
      <c r="J68" s="420">
        <f>+'FT GAS'!M123</f>
        <v>3.4979406631762653</v>
      </c>
      <c r="K68" s="420">
        <f>+'FT GAS'!N123</f>
        <v>3.0444677137870855</v>
      </c>
      <c r="L68" s="420">
        <f>+'FT GAS'!O123</f>
        <v>2.7853403141361261</v>
      </c>
      <c r="M68" s="420">
        <f>+'FT GAS'!P123</f>
        <v>2.5005235602094236</v>
      </c>
      <c r="N68" s="420">
        <f>+'FT GAS'!Q123</f>
        <v>2.3273996509598605</v>
      </c>
      <c r="O68" s="215">
        <f>+'FT GAS'!R123</f>
        <v>2.7663525305410119</v>
      </c>
      <c r="P68" s="34">
        <f>P69/P67</f>
        <v>3.5224557665270071</v>
      </c>
      <c r="Q68" s="16"/>
      <c r="R68" s="16"/>
      <c r="S68" s="16"/>
      <c r="T68" s="7" t="s">
        <v>106</v>
      </c>
      <c r="U68" s="118">
        <f>+'FT GAS'!X123</f>
        <v>3.1516928446771382</v>
      </c>
      <c r="V68" s="118">
        <f>+'FT GAS'!Y123</f>
        <v>3.4945898778359514</v>
      </c>
      <c r="W68" s="118">
        <f>+'FT GAS'!Z123</f>
        <v>3.4890052356020944</v>
      </c>
      <c r="X68" s="118">
        <f>+'FT GAS'!AA123</f>
        <v>3.4968237347294941</v>
      </c>
      <c r="Y68" s="118">
        <f>+'FT GAS'!AB123</f>
        <v>3.6487260034904012</v>
      </c>
      <c r="Z68" s="118">
        <f>+'FT GAS'!AC123</f>
        <v>3.9078534031413614</v>
      </c>
      <c r="AA68" s="118">
        <f>+'FT GAS'!AD123</f>
        <v>4.0530541012216403</v>
      </c>
      <c r="AB68" s="118">
        <f>+'FT GAS'!AE123</f>
        <v>4.0597556719022698</v>
      </c>
      <c r="AC68" s="118">
        <f>+'FT GAS'!AF123</f>
        <v>4.0128446771378705</v>
      </c>
      <c r="AD68" s="118">
        <f>+'FT GAS'!AG123</f>
        <v>3.9704013961605589</v>
      </c>
      <c r="AE68" s="118">
        <f>+'FT GAS'!AH123</f>
        <v>3.9905061082024433</v>
      </c>
      <c r="AF68" s="118">
        <f>+'FT GAS'!AI123</f>
        <v>4.0295986038394416</v>
      </c>
      <c r="AG68" s="16">
        <f>AG69/AG67</f>
        <v>3.813120164524233</v>
      </c>
      <c r="AH68" s="16"/>
      <c r="AI68" s="16"/>
      <c r="AJ68" s="7" t="s">
        <v>106</v>
      </c>
      <c r="AK68" s="118">
        <f>+'FT GAS'!AO123</f>
        <v>4.0787434554973823</v>
      </c>
      <c r="AL68" s="118">
        <f>+'FT GAS'!AP123</f>
        <v>4.1044328097731242</v>
      </c>
      <c r="AM68" s="118">
        <f>+'FT GAS'!AQ123</f>
        <v>4.1100174520069812</v>
      </c>
      <c r="AN68" s="118">
        <f>+'FT GAS'!AR123</f>
        <v>4.1479930191972079</v>
      </c>
      <c r="AO68" s="118">
        <f>+'FT GAS'!AS123</f>
        <v>4.2753228621291459</v>
      </c>
      <c r="AP68" s="118">
        <f>+'FT GAS'!AT123</f>
        <v>4.505410122164049</v>
      </c>
      <c r="AQ68" s="118">
        <f>+'FT GAS'!AU123</f>
        <v>4.630506108202443</v>
      </c>
      <c r="AR68" s="118">
        <f>+'FT GAS'!AV123</f>
        <v>4.6070506108202443</v>
      </c>
      <c r="AS68" s="118">
        <f>+'FT GAS'!AW123</f>
        <v>4.5277486910994762</v>
      </c>
      <c r="AT68" s="118">
        <f>+'FT GAS'!AX123</f>
        <v>4.3579755671902278</v>
      </c>
      <c r="AU68" s="118">
        <f>+'FT GAS'!AY123</f>
        <v>4.3769633507853403</v>
      </c>
      <c r="AV68" s="118">
        <f>+'FT GAS'!AZ123</f>
        <v>4.4048865619546245</v>
      </c>
      <c r="AW68" s="16">
        <f>AW69/AW67</f>
        <v>4.377912260159853</v>
      </c>
      <c r="AX68" s="16"/>
    </row>
    <row r="69" spans="1:50">
      <c r="A69" s="32"/>
      <c r="B69" s="32"/>
      <c r="C69" s="4" t="s">
        <v>107</v>
      </c>
      <c r="D69" s="32">
        <f t="shared" ref="D69:O69" si="108">D67*D68</f>
        <v>863931.95241884841</v>
      </c>
      <c r="E69" s="32">
        <f t="shared" si="108"/>
        <v>932113.03592321137</v>
      </c>
      <c r="F69" s="32">
        <f t="shared" si="108"/>
        <v>928754.04168935434</v>
      </c>
      <c r="G69" s="32">
        <f t="shared" si="108"/>
        <v>941996.53760558472</v>
      </c>
      <c r="H69" s="32">
        <f t="shared" si="108"/>
        <v>996445.29404537543</v>
      </c>
      <c r="I69" s="32">
        <f t="shared" si="108"/>
        <v>991554.72326701577</v>
      </c>
      <c r="J69" s="32">
        <f t="shared" si="108"/>
        <v>959789.44474694587</v>
      </c>
      <c r="K69" s="32">
        <f t="shared" si="108"/>
        <v>794501.64805584645</v>
      </c>
      <c r="L69" s="39">
        <f t="shared" si="108"/>
        <v>602416.18848167546</v>
      </c>
      <c r="M69" s="32">
        <f t="shared" si="108"/>
        <v>674914.5637696333</v>
      </c>
      <c r="N69" s="32">
        <f t="shared" si="108"/>
        <v>576736.6157068063</v>
      </c>
      <c r="O69" s="32">
        <f t="shared" si="108"/>
        <v>634685.6442582896</v>
      </c>
      <c r="P69" s="43">
        <f>SUM(D69:O69)</f>
        <v>9897839.6899685897</v>
      </c>
      <c r="Q69" s="32"/>
      <c r="R69" s="32"/>
      <c r="S69" s="32"/>
      <c r="T69" s="4" t="s">
        <v>107</v>
      </c>
      <c r="U69" s="32">
        <f t="shared" ref="U69:AF69" si="109">U67*U68</f>
        <v>708941.78848167544</v>
      </c>
      <c r="V69" s="32">
        <f t="shared" si="109"/>
        <v>836045.68237347307</v>
      </c>
      <c r="W69" s="32">
        <f t="shared" si="109"/>
        <v>888091.39267015713</v>
      </c>
      <c r="X69" s="32">
        <f t="shared" si="109"/>
        <v>975404.01256544515</v>
      </c>
      <c r="Y69" s="32">
        <f t="shared" si="109"/>
        <v>1227577.3766143105</v>
      </c>
      <c r="Z69" s="32">
        <f t="shared" si="109"/>
        <v>1670372.8586387436</v>
      </c>
      <c r="AA69" s="32">
        <f t="shared" si="109"/>
        <v>1821604.6352530541</v>
      </c>
      <c r="AB69" s="32">
        <f t="shared" si="109"/>
        <v>1491716.62408377</v>
      </c>
      <c r="AC69" s="39">
        <f t="shared" si="109"/>
        <v>1321991.5504363</v>
      </c>
      <c r="AD69" s="32">
        <f t="shared" si="109"/>
        <v>1232571.409424084</v>
      </c>
      <c r="AE69" s="32">
        <f t="shared" si="109"/>
        <v>977434.56614310644</v>
      </c>
      <c r="AF69" s="32">
        <f t="shared" si="109"/>
        <v>1005143.0757417103</v>
      </c>
      <c r="AG69" s="32">
        <f>SUM(U69:AF69)</f>
        <v>14156894.97242583</v>
      </c>
      <c r="AH69" s="32"/>
      <c r="AI69" s="32"/>
      <c r="AJ69" s="4" t="s">
        <v>107</v>
      </c>
      <c r="AK69" s="32">
        <f t="shared" ref="AK69:AV69" si="110">AK67*AK68</f>
        <v>964622.82722513087</v>
      </c>
      <c r="AL69" s="32">
        <f t="shared" si="110"/>
        <v>1032264.8516579408</v>
      </c>
      <c r="AM69" s="32">
        <f t="shared" si="110"/>
        <v>1057096.4886561956</v>
      </c>
      <c r="AN69" s="32">
        <f t="shared" si="110"/>
        <v>1209969.5636998254</v>
      </c>
      <c r="AO69" s="32">
        <f t="shared" si="110"/>
        <v>1480116.7748691102</v>
      </c>
      <c r="AP69" s="32">
        <f t="shared" si="110"/>
        <v>2005808.5863874345</v>
      </c>
      <c r="AQ69" s="32">
        <f t="shared" si="110"/>
        <v>2158741.947643979</v>
      </c>
      <c r="AR69" s="32">
        <f t="shared" si="110"/>
        <v>1719351.2879581151</v>
      </c>
      <c r="AS69" s="39">
        <f t="shared" si="110"/>
        <v>1531284.6073298429</v>
      </c>
      <c r="AT69" s="32">
        <f t="shared" si="110"/>
        <v>1395423.7766143109</v>
      </c>
      <c r="AU69" s="32">
        <f t="shared" si="110"/>
        <v>1127943.4554973822</v>
      </c>
      <c r="AV69" s="32">
        <f t="shared" si="110"/>
        <v>1132936.8237347293</v>
      </c>
      <c r="AW69" s="32">
        <f>SUM(AK69:AV69)</f>
        <v>16815560.991273995</v>
      </c>
    </row>
    <row r="70" spans="1:50">
      <c r="A70" s="43"/>
      <c r="B70" s="43"/>
      <c r="C70" s="2" t="s">
        <v>117</v>
      </c>
      <c r="D70" s="32">
        <f t="shared" ref="D70:O70" si="111">SUM(D66,D69)</f>
        <v>1057608.1424188484</v>
      </c>
      <c r="E70" s="32">
        <f t="shared" si="111"/>
        <v>1163679.6859232113</v>
      </c>
      <c r="F70" s="32">
        <f t="shared" si="111"/>
        <v>1130043.7616893544</v>
      </c>
      <c r="G70" s="32">
        <f t="shared" si="111"/>
        <v>1195283.7676055848</v>
      </c>
      <c r="H70" s="32">
        <f t="shared" si="111"/>
        <v>1378765.2940453754</v>
      </c>
      <c r="I70" s="32">
        <f t="shared" si="111"/>
        <v>1452462.7232670158</v>
      </c>
      <c r="J70" s="32">
        <f t="shared" si="111"/>
        <v>1420697.444746946</v>
      </c>
      <c r="K70" s="32">
        <f t="shared" si="111"/>
        <v>1225673.6480558463</v>
      </c>
      <c r="L70" s="39">
        <f t="shared" si="111"/>
        <v>997480.18848167546</v>
      </c>
      <c r="M70" s="32">
        <f t="shared" si="111"/>
        <v>674914.5637696333</v>
      </c>
      <c r="N70" s="32">
        <f t="shared" si="111"/>
        <v>576736.6157068063</v>
      </c>
      <c r="O70" s="32">
        <f t="shared" si="111"/>
        <v>634685.6442582896</v>
      </c>
      <c r="P70" s="43">
        <f>SUM(D70:O70)</f>
        <v>12908031.479968589</v>
      </c>
      <c r="Q70" s="43"/>
      <c r="R70" s="43"/>
      <c r="S70" s="43"/>
      <c r="T70" s="2" t="s">
        <v>117</v>
      </c>
      <c r="U70" s="32">
        <f t="shared" ref="U70:AF70" si="112">SUM(U66,U69)</f>
        <v>708941.78848167544</v>
      </c>
      <c r="V70" s="32">
        <f t="shared" si="112"/>
        <v>836045.68237347307</v>
      </c>
      <c r="W70" s="32">
        <f t="shared" si="112"/>
        <v>888091.39267015713</v>
      </c>
      <c r="X70" s="32">
        <f t="shared" si="112"/>
        <v>975404.01256544515</v>
      </c>
      <c r="Y70" s="32">
        <f t="shared" si="112"/>
        <v>1227577.3766143105</v>
      </c>
      <c r="Z70" s="32">
        <f t="shared" si="112"/>
        <v>1670372.8586387436</v>
      </c>
      <c r="AA70" s="32">
        <f t="shared" si="112"/>
        <v>1821604.6352530541</v>
      </c>
      <c r="AB70" s="32">
        <f t="shared" si="112"/>
        <v>1491716.62408377</v>
      </c>
      <c r="AC70" s="39">
        <f t="shared" si="112"/>
        <v>1321991.5504363</v>
      </c>
      <c r="AD70" s="32">
        <f t="shared" si="112"/>
        <v>1232571.409424084</v>
      </c>
      <c r="AE70" s="32">
        <f t="shared" si="112"/>
        <v>977434.56614310644</v>
      </c>
      <c r="AF70" s="32">
        <f t="shared" si="112"/>
        <v>1005143.0757417103</v>
      </c>
      <c r="AG70" s="43">
        <f>SUM(U70:AF70)</f>
        <v>14156894.97242583</v>
      </c>
      <c r="AH70" s="43"/>
      <c r="AI70" s="43"/>
      <c r="AJ70" s="2" t="s">
        <v>117</v>
      </c>
      <c r="AK70" s="32">
        <f t="shared" ref="AK70:AV70" si="113">SUM(AK66,AK69)</f>
        <v>964622.82722513087</v>
      </c>
      <c r="AL70" s="32">
        <f t="shared" si="113"/>
        <v>1032264.8516579408</v>
      </c>
      <c r="AM70" s="32">
        <f t="shared" si="113"/>
        <v>1057096.4886561956</v>
      </c>
      <c r="AN70" s="32">
        <f t="shared" si="113"/>
        <v>1209969.5636998254</v>
      </c>
      <c r="AO70" s="32">
        <f t="shared" si="113"/>
        <v>1480116.7748691102</v>
      </c>
      <c r="AP70" s="32">
        <f t="shared" si="113"/>
        <v>2005808.5863874345</v>
      </c>
      <c r="AQ70" s="32">
        <f t="shared" si="113"/>
        <v>2158741.947643979</v>
      </c>
      <c r="AR70" s="32">
        <f t="shared" si="113"/>
        <v>1719351.2879581151</v>
      </c>
      <c r="AS70" s="39">
        <f t="shared" si="113"/>
        <v>1531284.6073298429</v>
      </c>
      <c r="AT70" s="32">
        <f t="shared" si="113"/>
        <v>1395423.7766143109</v>
      </c>
      <c r="AU70" s="32">
        <f t="shared" si="113"/>
        <v>1127943.4554973822</v>
      </c>
      <c r="AV70" s="32">
        <f t="shared" si="113"/>
        <v>1132936.8237347293</v>
      </c>
      <c r="AW70" s="43">
        <f>SUM(AK70:AV70)</f>
        <v>16815560.991273995</v>
      </c>
    </row>
    <row r="71" spans="1:50">
      <c r="A71" s="43"/>
      <c r="B71" s="43"/>
      <c r="C71" s="8" t="s">
        <v>605</v>
      </c>
      <c r="D71" s="393">
        <v>147721.43</v>
      </c>
      <c r="E71" s="393">
        <v>157851.41999999998</v>
      </c>
      <c r="F71" s="393">
        <v>161306.47</v>
      </c>
      <c r="G71" s="393">
        <v>165139.51999999999</v>
      </c>
      <c r="H71" s="393">
        <v>154593.84999999998</v>
      </c>
      <c r="I71" s="393">
        <v>152665.01999999999</v>
      </c>
      <c r="J71" s="393">
        <v>149246.16999999998</v>
      </c>
      <c r="K71" s="393">
        <v>137895.24</v>
      </c>
      <c r="L71" s="393">
        <v>134729.33000000002</v>
      </c>
      <c r="M71" s="393">
        <v>133822.38</v>
      </c>
      <c r="N71" s="393">
        <v>133226.27000000002</v>
      </c>
      <c r="O71" s="188">
        <v>150000</v>
      </c>
      <c r="P71" s="43">
        <f>SUM(D71:O71)</f>
        <v>1778197.1</v>
      </c>
      <c r="Q71" s="34"/>
      <c r="R71" s="43"/>
      <c r="S71" s="43"/>
      <c r="T71" s="170" t="s">
        <v>605</v>
      </c>
      <c r="U71" s="32">
        <v>150000</v>
      </c>
      <c r="V71" s="32">
        <v>150000</v>
      </c>
      <c r="W71" s="32">
        <v>150000</v>
      </c>
      <c r="X71" s="32">
        <v>150000</v>
      </c>
      <c r="Y71" s="32">
        <v>150000</v>
      </c>
      <c r="Z71" s="32">
        <v>150000</v>
      </c>
      <c r="AA71" s="32">
        <v>150000</v>
      </c>
      <c r="AB71" s="32">
        <v>150000</v>
      </c>
      <c r="AC71" s="32">
        <v>150000</v>
      </c>
      <c r="AD71" s="32">
        <v>150000</v>
      </c>
      <c r="AE71" s="32">
        <v>150000</v>
      </c>
      <c r="AF71" s="32">
        <v>150000</v>
      </c>
      <c r="AG71" s="43">
        <f>SUM(U71:AF71)</f>
        <v>1800000</v>
      </c>
      <c r="AH71" s="43"/>
      <c r="AI71" s="43"/>
      <c r="AJ71" s="170" t="s">
        <v>605</v>
      </c>
      <c r="AK71" s="32">
        <v>150000</v>
      </c>
      <c r="AL71" s="32">
        <v>150000</v>
      </c>
      <c r="AM71" s="32">
        <v>150000</v>
      </c>
      <c r="AN71" s="32">
        <v>150000</v>
      </c>
      <c r="AO71" s="32">
        <v>150000</v>
      </c>
      <c r="AP71" s="32">
        <v>150000</v>
      </c>
      <c r="AQ71" s="32">
        <v>150000</v>
      </c>
      <c r="AR71" s="32">
        <v>150000</v>
      </c>
      <c r="AS71" s="32">
        <v>150000</v>
      </c>
      <c r="AT71" s="32">
        <v>150000</v>
      </c>
      <c r="AU71" s="32">
        <v>150000</v>
      </c>
      <c r="AV71" s="32">
        <v>150000</v>
      </c>
      <c r="AW71" s="43">
        <f>SUM(AK71:AV71)</f>
        <v>1800000</v>
      </c>
    </row>
    <row r="72" spans="1:50">
      <c r="A72" s="43"/>
      <c r="B72" s="454"/>
      <c r="C72" s="2" t="s">
        <v>76</v>
      </c>
      <c r="D72" s="32">
        <f t="shared" ref="D72:O72" si="114">SUM(D70:D71)</f>
        <v>1205329.5724188483</v>
      </c>
      <c r="E72" s="32">
        <f t="shared" si="114"/>
        <v>1321531.1059232112</v>
      </c>
      <c r="F72" s="32">
        <f t="shared" si="114"/>
        <v>1291350.2316893544</v>
      </c>
      <c r="G72" s="32">
        <f t="shared" si="114"/>
        <v>1360423.2876055848</v>
      </c>
      <c r="H72" s="32">
        <f t="shared" si="114"/>
        <v>1533359.1440453753</v>
      </c>
      <c r="I72" s="32">
        <f t="shared" si="114"/>
        <v>1605127.7432670158</v>
      </c>
      <c r="J72" s="32">
        <f t="shared" si="114"/>
        <v>1569943.6147469459</v>
      </c>
      <c r="K72" s="32">
        <f t="shared" si="114"/>
        <v>1363568.8880558463</v>
      </c>
      <c r="L72" s="39">
        <f t="shared" si="114"/>
        <v>1132209.5184816755</v>
      </c>
      <c r="M72" s="32">
        <f t="shared" si="114"/>
        <v>808736.9437696333</v>
      </c>
      <c r="N72" s="32">
        <f t="shared" si="114"/>
        <v>709962.88570680632</v>
      </c>
      <c r="O72" s="32">
        <f t="shared" si="114"/>
        <v>784685.6442582896</v>
      </c>
      <c r="P72" s="43">
        <f>SUM(D72:O72)</f>
        <v>14686228.579968587</v>
      </c>
      <c r="Q72" s="43"/>
      <c r="R72" s="43"/>
      <c r="S72" s="43"/>
      <c r="T72" s="2" t="s">
        <v>76</v>
      </c>
      <c r="U72" s="32">
        <f t="shared" ref="U72:AF72" si="115">SUM(U70:U71)</f>
        <v>858941.78848167544</v>
      </c>
      <c r="V72" s="32">
        <f t="shared" si="115"/>
        <v>986045.68237347307</v>
      </c>
      <c r="W72" s="32">
        <f t="shared" si="115"/>
        <v>1038091.3926701571</v>
      </c>
      <c r="X72" s="32">
        <f t="shared" si="115"/>
        <v>1125404.0125654452</v>
      </c>
      <c r="Y72" s="32">
        <f t="shared" si="115"/>
        <v>1377577.3766143105</v>
      </c>
      <c r="Z72" s="32">
        <f t="shared" si="115"/>
        <v>1820372.8586387436</v>
      </c>
      <c r="AA72" s="32">
        <f t="shared" si="115"/>
        <v>1971604.6352530541</v>
      </c>
      <c r="AB72" s="32">
        <f t="shared" si="115"/>
        <v>1641716.62408377</v>
      </c>
      <c r="AC72" s="39">
        <f t="shared" si="115"/>
        <v>1471991.5504363</v>
      </c>
      <c r="AD72" s="32">
        <f t="shared" si="115"/>
        <v>1382571.409424084</v>
      </c>
      <c r="AE72" s="32">
        <f t="shared" si="115"/>
        <v>1127434.5661431064</v>
      </c>
      <c r="AF72" s="32">
        <f t="shared" si="115"/>
        <v>1155143.0757417101</v>
      </c>
      <c r="AG72" s="43">
        <f>SUM(U72:AF72)</f>
        <v>15956894.97242583</v>
      </c>
      <c r="AH72" s="43"/>
      <c r="AI72" s="43"/>
      <c r="AJ72" s="2" t="s">
        <v>76</v>
      </c>
      <c r="AK72" s="32">
        <f t="shared" ref="AK72:AV72" si="116">SUM(AK70:AK71)</f>
        <v>1114622.827225131</v>
      </c>
      <c r="AL72" s="32">
        <f t="shared" si="116"/>
        <v>1182264.8516579408</v>
      </c>
      <c r="AM72" s="32">
        <f t="shared" si="116"/>
        <v>1207096.4886561956</v>
      </c>
      <c r="AN72" s="32">
        <f t="shared" si="116"/>
        <v>1359969.5636998254</v>
      </c>
      <c r="AO72" s="32">
        <f t="shared" si="116"/>
        <v>1630116.7748691102</v>
      </c>
      <c r="AP72" s="32">
        <f t="shared" si="116"/>
        <v>2155808.5863874345</v>
      </c>
      <c r="AQ72" s="32">
        <f t="shared" si="116"/>
        <v>2308741.947643979</v>
      </c>
      <c r="AR72" s="32">
        <f t="shared" si="116"/>
        <v>1869351.2879581151</v>
      </c>
      <c r="AS72" s="39">
        <f t="shared" si="116"/>
        <v>1681284.6073298429</v>
      </c>
      <c r="AT72" s="32">
        <f t="shared" si="116"/>
        <v>1545423.7766143109</v>
      </c>
      <c r="AU72" s="32">
        <f t="shared" si="116"/>
        <v>1277943.4554973822</v>
      </c>
      <c r="AV72" s="32">
        <f t="shared" si="116"/>
        <v>1282936.8237347293</v>
      </c>
      <c r="AW72" s="43">
        <f>SUM(AK72:AV72)</f>
        <v>18615560.991273999</v>
      </c>
    </row>
    <row r="73" spans="1:50">
      <c r="A73" s="43"/>
      <c r="B73" s="43"/>
      <c r="C73" s="323" t="s">
        <v>891</v>
      </c>
      <c r="D73" s="32"/>
      <c r="E73" s="32"/>
      <c r="F73" s="32"/>
      <c r="G73" s="32"/>
      <c r="H73" s="32"/>
      <c r="I73" s="32"/>
      <c r="J73" s="32"/>
      <c r="K73" s="32"/>
      <c r="L73" s="39"/>
      <c r="M73" s="32"/>
      <c r="N73" s="32"/>
      <c r="O73" s="32"/>
      <c r="P73" s="43"/>
      <c r="Q73" s="43"/>
      <c r="R73" s="43"/>
      <c r="S73" s="43"/>
      <c r="T73" s="323" t="s">
        <v>891</v>
      </c>
      <c r="U73" s="32"/>
      <c r="V73" s="32"/>
      <c r="W73" s="32"/>
      <c r="X73" s="32"/>
      <c r="Y73" s="32"/>
      <c r="Z73" s="32"/>
      <c r="AA73" s="32"/>
      <c r="AB73" s="32"/>
      <c r="AC73" s="39"/>
      <c r="AD73" s="32"/>
      <c r="AE73" s="32"/>
      <c r="AF73" s="32"/>
      <c r="AG73" s="43"/>
      <c r="AH73" s="43"/>
      <c r="AI73" s="43"/>
      <c r="AJ73" s="2"/>
      <c r="AK73" s="32"/>
      <c r="AL73" s="32"/>
      <c r="AM73" s="32"/>
      <c r="AN73" s="32"/>
      <c r="AO73" s="32"/>
      <c r="AP73" s="32"/>
      <c r="AQ73" s="32"/>
      <c r="AR73" s="32"/>
      <c r="AS73" s="39"/>
      <c r="AT73" s="32"/>
      <c r="AU73" s="32"/>
      <c r="AV73" s="32"/>
      <c r="AW73" s="43"/>
    </row>
    <row r="74" spans="1:50">
      <c r="A74" s="43"/>
      <c r="B74" s="43"/>
      <c r="C74" s="323" t="s">
        <v>892</v>
      </c>
      <c r="D74" s="32">
        <f>D72+D73</f>
        <v>1205329.5724188483</v>
      </c>
      <c r="E74" s="32">
        <f t="shared" ref="E74:O74" si="117">E72+E73</f>
        <v>1321531.1059232112</v>
      </c>
      <c r="F74" s="32">
        <f t="shared" si="117"/>
        <v>1291350.2316893544</v>
      </c>
      <c r="G74" s="32">
        <f t="shared" si="117"/>
        <v>1360423.2876055848</v>
      </c>
      <c r="H74" s="32">
        <f t="shared" si="117"/>
        <v>1533359.1440453753</v>
      </c>
      <c r="I74" s="32">
        <f t="shared" si="117"/>
        <v>1605127.7432670158</v>
      </c>
      <c r="J74" s="32">
        <f t="shared" si="117"/>
        <v>1569943.6147469459</v>
      </c>
      <c r="K74" s="32">
        <f t="shared" si="117"/>
        <v>1363568.8880558463</v>
      </c>
      <c r="L74" s="32">
        <f t="shared" si="117"/>
        <v>1132209.5184816755</v>
      </c>
      <c r="M74" s="32">
        <f t="shared" si="117"/>
        <v>808736.9437696333</v>
      </c>
      <c r="N74" s="32">
        <f t="shared" si="117"/>
        <v>709962.88570680632</v>
      </c>
      <c r="O74" s="32">
        <f t="shared" si="117"/>
        <v>784685.6442582896</v>
      </c>
      <c r="P74" s="43"/>
      <c r="Q74" s="43"/>
      <c r="R74" s="43"/>
      <c r="S74" s="43"/>
      <c r="T74" s="323" t="s">
        <v>892</v>
      </c>
      <c r="U74" s="32">
        <f t="shared" ref="U74:AF74" si="118">U72+U73</f>
        <v>858941.78848167544</v>
      </c>
      <c r="V74" s="32">
        <f t="shared" si="118"/>
        <v>986045.68237347307</v>
      </c>
      <c r="W74" s="32">
        <f t="shared" si="118"/>
        <v>1038091.3926701571</v>
      </c>
      <c r="X74" s="32">
        <f t="shared" si="118"/>
        <v>1125404.0125654452</v>
      </c>
      <c r="Y74" s="32">
        <f t="shared" si="118"/>
        <v>1377577.3766143105</v>
      </c>
      <c r="Z74" s="32">
        <f t="shared" si="118"/>
        <v>1820372.8586387436</v>
      </c>
      <c r="AA74" s="32">
        <f t="shared" si="118"/>
        <v>1971604.6352530541</v>
      </c>
      <c r="AB74" s="32">
        <f t="shared" si="118"/>
        <v>1641716.62408377</v>
      </c>
      <c r="AC74" s="32">
        <f t="shared" si="118"/>
        <v>1471991.5504363</v>
      </c>
      <c r="AD74" s="32">
        <f t="shared" si="118"/>
        <v>1382571.409424084</v>
      </c>
      <c r="AE74" s="32">
        <f t="shared" si="118"/>
        <v>1127434.5661431064</v>
      </c>
      <c r="AF74" s="32">
        <f t="shared" si="118"/>
        <v>1155143.0757417101</v>
      </c>
      <c r="AG74" s="43"/>
      <c r="AH74" s="43"/>
      <c r="AI74" s="43"/>
      <c r="AJ74" s="2"/>
      <c r="AK74" s="32"/>
      <c r="AL74" s="32"/>
      <c r="AM74" s="32"/>
      <c r="AN74" s="32"/>
      <c r="AO74" s="32"/>
      <c r="AP74" s="32"/>
      <c r="AQ74" s="32"/>
      <c r="AR74" s="32"/>
      <c r="AS74" s="39"/>
      <c r="AT74" s="32"/>
      <c r="AU74" s="32"/>
      <c r="AV74" s="32"/>
      <c r="AW74" s="43"/>
    </row>
    <row r="75" spans="1:50">
      <c r="A75" s="43"/>
      <c r="B75" s="43"/>
      <c r="C75" s="170"/>
      <c r="D75" s="32"/>
      <c r="E75" s="32"/>
      <c r="F75" s="32"/>
      <c r="G75" s="32"/>
      <c r="H75" s="32"/>
      <c r="I75" s="32"/>
      <c r="J75" s="32"/>
      <c r="K75" s="32"/>
      <c r="L75" s="39"/>
      <c r="M75" s="32"/>
      <c r="N75" s="32"/>
      <c r="O75" s="32"/>
      <c r="P75" s="43"/>
      <c r="Q75" s="43"/>
      <c r="R75" s="43"/>
      <c r="S75" s="43"/>
      <c r="T75" s="2"/>
      <c r="U75" s="32"/>
      <c r="V75" s="32"/>
      <c r="W75" s="32"/>
      <c r="X75" s="32"/>
      <c r="Y75" s="32"/>
      <c r="Z75" s="32"/>
      <c r="AA75" s="32"/>
      <c r="AB75" s="32"/>
      <c r="AC75" s="39"/>
      <c r="AD75" s="32"/>
      <c r="AE75" s="32"/>
      <c r="AF75" s="32"/>
      <c r="AG75" s="43"/>
      <c r="AH75" s="43"/>
      <c r="AI75" s="43"/>
      <c r="AJ75" s="2"/>
      <c r="AK75" s="32"/>
      <c r="AL75" s="32"/>
      <c r="AM75" s="32"/>
      <c r="AN75" s="32"/>
      <c r="AO75" s="32"/>
      <c r="AP75" s="32"/>
      <c r="AQ75" s="32"/>
      <c r="AR75" s="32"/>
      <c r="AS75" s="39"/>
      <c r="AT75" s="32"/>
      <c r="AU75" s="32"/>
      <c r="AV75" s="32"/>
      <c r="AW75" s="43"/>
    </row>
    <row r="76" spans="1:50">
      <c r="A76" s="43"/>
      <c r="B76" s="43"/>
      <c r="C76" s="170" t="s">
        <v>462</v>
      </c>
      <c r="D76" s="17">
        <f>+'FT GAS'!G109</f>
        <v>4.3570000000000002</v>
      </c>
      <c r="E76" s="17">
        <f>+'FT GAS'!H109</f>
        <v>4.32</v>
      </c>
      <c r="F76" s="17">
        <f>+'FT GAS'!I109</f>
        <v>3.8570000000000002</v>
      </c>
      <c r="G76" s="17">
        <f>+'FT GAS'!J109</f>
        <v>3.7589999999999999</v>
      </c>
      <c r="H76" s="17">
        <f>+'FT GAS'!K109</f>
        <v>3.524</v>
      </c>
      <c r="I76" s="17">
        <f>+'FT GAS'!L109</f>
        <v>3.3639999999999999</v>
      </c>
      <c r="J76" s="17">
        <f>+'FT GAS'!M109</f>
        <v>3.0840000000000001</v>
      </c>
      <c r="K76" s="17">
        <f>+'FT GAS'!N109</f>
        <v>2.6779999999999999</v>
      </c>
      <c r="L76" s="17">
        <f>+'FT GAS'!O109</f>
        <v>2.4460000000000002</v>
      </c>
      <c r="M76" s="17">
        <f>+'FT GAS'!P109</f>
        <v>2.1909999999999998</v>
      </c>
      <c r="N76" s="17">
        <f>+'FT GAS'!Q109</f>
        <v>2.036</v>
      </c>
      <c r="O76" s="17">
        <f>+'FT GAS'!R109</f>
        <v>2.4289999999999998</v>
      </c>
      <c r="P76" s="43"/>
      <c r="Q76" s="43"/>
      <c r="R76" s="43"/>
      <c r="S76" s="43"/>
      <c r="T76" s="2"/>
      <c r="U76" s="32"/>
      <c r="V76" s="32"/>
      <c r="W76" s="32"/>
      <c r="X76" s="32"/>
      <c r="Y76" s="32"/>
      <c r="Z76" s="32"/>
      <c r="AA76" s="32"/>
      <c r="AB76" s="32"/>
      <c r="AC76" s="39"/>
      <c r="AD76" s="32"/>
      <c r="AE76" s="32"/>
      <c r="AF76" s="32"/>
      <c r="AG76" s="43"/>
      <c r="AH76" s="43"/>
      <c r="AI76" s="43"/>
      <c r="AJ76" s="2"/>
      <c r="AK76" s="32"/>
      <c r="AL76" s="32"/>
      <c r="AM76" s="32"/>
      <c r="AN76" s="32"/>
      <c r="AO76" s="32"/>
      <c r="AP76" s="32"/>
      <c r="AQ76" s="32"/>
      <c r="AR76" s="32"/>
      <c r="AS76" s="39"/>
      <c r="AT76" s="32"/>
      <c r="AU76" s="32"/>
      <c r="AV76" s="32"/>
      <c r="AW76" s="43"/>
    </row>
    <row r="77" spans="1:50">
      <c r="A77" s="16"/>
      <c r="B77" s="16"/>
      <c r="C77" s="170" t="s">
        <v>131</v>
      </c>
      <c r="D77" s="146">
        <v>6.5</v>
      </c>
      <c r="E77" s="146">
        <v>6.5</v>
      </c>
      <c r="F77" s="146">
        <v>6.5</v>
      </c>
      <c r="G77" s="146">
        <v>6.5</v>
      </c>
      <c r="H77" s="146">
        <v>6.5</v>
      </c>
      <c r="I77" s="146">
        <v>6</v>
      </c>
      <c r="J77" s="146">
        <v>6</v>
      </c>
      <c r="K77" s="146">
        <v>6</v>
      </c>
      <c r="L77" s="146">
        <v>5</v>
      </c>
      <c r="M77" s="146">
        <v>5</v>
      </c>
      <c r="N77" s="146">
        <v>5</v>
      </c>
      <c r="O77" s="146">
        <v>5</v>
      </c>
      <c r="P77" s="34">
        <f>P79/P10</f>
        <v>5.919945423770602</v>
      </c>
      <c r="Q77" s="16"/>
      <c r="R77" s="16"/>
      <c r="S77" s="16"/>
      <c r="T77" s="170" t="s">
        <v>131</v>
      </c>
      <c r="U77" s="146">
        <v>5</v>
      </c>
      <c r="V77" s="146">
        <v>5</v>
      </c>
      <c r="W77" s="146">
        <v>5</v>
      </c>
      <c r="X77" s="146">
        <v>5</v>
      </c>
      <c r="Y77" s="146">
        <v>5</v>
      </c>
      <c r="Z77" s="146">
        <v>5</v>
      </c>
      <c r="AA77" s="146">
        <v>5</v>
      </c>
      <c r="AB77" s="146">
        <v>5</v>
      </c>
      <c r="AC77" s="146">
        <v>5</v>
      </c>
      <c r="AD77" s="146">
        <v>5</v>
      </c>
      <c r="AE77" s="146">
        <v>5</v>
      </c>
      <c r="AF77" s="146">
        <v>5</v>
      </c>
      <c r="AG77" s="16">
        <f>AG79/AG10</f>
        <v>5</v>
      </c>
      <c r="AH77" s="16"/>
      <c r="AI77" s="16"/>
      <c r="AJ77" s="170" t="s">
        <v>131</v>
      </c>
      <c r="AK77" s="146">
        <v>5</v>
      </c>
      <c r="AL77" s="146">
        <v>5</v>
      </c>
      <c r="AM77" s="146">
        <v>5</v>
      </c>
      <c r="AN77" s="146">
        <v>5</v>
      </c>
      <c r="AO77" s="146">
        <v>5</v>
      </c>
      <c r="AP77" s="146">
        <v>5</v>
      </c>
      <c r="AQ77" s="146">
        <v>5</v>
      </c>
      <c r="AR77" s="146">
        <v>5</v>
      </c>
      <c r="AS77" s="146">
        <v>5</v>
      </c>
      <c r="AT77" s="146">
        <v>5</v>
      </c>
      <c r="AU77" s="146">
        <v>5</v>
      </c>
      <c r="AV77" s="146">
        <v>5</v>
      </c>
      <c r="AW77" s="16">
        <f>AW79/AW10</f>
        <v>5</v>
      </c>
    </row>
    <row r="78" spans="1:50">
      <c r="A78" s="16"/>
      <c r="B78" s="16"/>
      <c r="C78" s="170" t="s">
        <v>457</v>
      </c>
      <c r="D78" s="128"/>
      <c r="E78" s="128">
        <f t="shared" ref="E78:O78" si="119">(E77-D77)/D77</f>
        <v>0</v>
      </c>
      <c r="F78" s="128">
        <f t="shared" si="119"/>
        <v>0</v>
      </c>
      <c r="G78" s="128">
        <f t="shared" si="119"/>
        <v>0</v>
      </c>
      <c r="H78" s="129">
        <f t="shared" si="119"/>
        <v>0</v>
      </c>
      <c r="I78" s="128">
        <f t="shared" si="119"/>
        <v>-7.6923076923076927E-2</v>
      </c>
      <c r="J78" s="128">
        <f t="shared" si="119"/>
        <v>0</v>
      </c>
      <c r="K78" s="128">
        <f t="shared" si="119"/>
        <v>0</v>
      </c>
      <c r="L78" s="128">
        <f t="shared" si="119"/>
        <v>-0.16666666666666666</v>
      </c>
      <c r="M78" s="128">
        <f t="shared" si="119"/>
        <v>0</v>
      </c>
      <c r="N78" s="128">
        <f t="shared" si="119"/>
        <v>0</v>
      </c>
      <c r="O78" s="128">
        <f t="shared" si="119"/>
        <v>0</v>
      </c>
      <c r="P78" s="34"/>
      <c r="Q78" s="16"/>
      <c r="R78" s="16"/>
      <c r="S78" s="16"/>
      <c r="T78" s="170" t="s">
        <v>457</v>
      </c>
      <c r="U78" s="128">
        <f>(U77-P77)/O77</f>
        <v>-0.1839890847541204</v>
      </c>
      <c r="V78" s="128">
        <f t="shared" ref="V78:AF78" si="120">(V77-U77)/U77</f>
        <v>0</v>
      </c>
      <c r="W78" s="128">
        <f t="shared" si="120"/>
        <v>0</v>
      </c>
      <c r="X78" s="128">
        <f t="shared" si="120"/>
        <v>0</v>
      </c>
      <c r="Y78" s="128">
        <f t="shared" si="120"/>
        <v>0</v>
      </c>
      <c r="Z78" s="128">
        <f t="shared" si="120"/>
        <v>0</v>
      </c>
      <c r="AA78" s="128">
        <f t="shared" si="120"/>
        <v>0</v>
      </c>
      <c r="AB78" s="128">
        <f t="shared" si="120"/>
        <v>0</v>
      </c>
      <c r="AC78" s="128">
        <f t="shared" si="120"/>
        <v>0</v>
      </c>
      <c r="AD78" s="128">
        <f t="shared" si="120"/>
        <v>0</v>
      </c>
      <c r="AE78" s="128">
        <f t="shared" si="120"/>
        <v>0</v>
      </c>
      <c r="AF78" s="128">
        <f t="shared" si="120"/>
        <v>0</v>
      </c>
      <c r="AG78" s="16"/>
      <c r="AH78" s="16"/>
      <c r="AI78" s="16"/>
      <c r="AJ78" s="170" t="s">
        <v>457</v>
      </c>
      <c r="AK78" s="17"/>
      <c r="AL78" s="128">
        <f t="shared" ref="AL78:AV78" si="121">(AL77-AK77)/AK77</f>
        <v>0</v>
      </c>
      <c r="AM78" s="128">
        <f t="shared" si="121"/>
        <v>0</v>
      </c>
      <c r="AN78" s="128">
        <f t="shared" si="121"/>
        <v>0</v>
      </c>
      <c r="AO78" s="128">
        <f t="shared" si="121"/>
        <v>0</v>
      </c>
      <c r="AP78" s="128">
        <f t="shared" si="121"/>
        <v>0</v>
      </c>
      <c r="AQ78" s="128">
        <f t="shared" si="121"/>
        <v>0</v>
      </c>
      <c r="AR78" s="128">
        <f t="shared" si="121"/>
        <v>0</v>
      </c>
      <c r="AS78" s="128">
        <f t="shared" si="121"/>
        <v>0</v>
      </c>
      <c r="AT78" s="128">
        <f t="shared" si="121"/>
        <v>0</v>
      </c>
      <c r="AU78" s="128">
        <f t="shared" si="121"/>
        <v>0</v>
      </c>
      <c r="AV78" s="128">
        <f t="shared" si="121"/>
        <v>0</v>
      </c>
      <c r="AW78" s="16"/>
    </row>
    <row r="79" spans="1:50">
      <c r="A79" s="43"/>
      <c r="B79" s="43"/>
      <c r="C79" s="2" t="s">
        <v>139</v>
      </c>
      <c r="D79" s="32">
        <f t="shared" ref="D79:O79" si="122">D77*D10</f>
        <v>1181975.5999999999</v>
      </c>
      <c r="E79" s="32">
        <f t="shared" si="122"/>
        <v>1377752.3500000003</v>
      </c>
      <c r="F79" s="32">
        <f t="shared" si="122"/>
        <v>1540609.2</v>
      </c>
      <c r="G79" s="32">
        <f t="shared" si="122"/>
        <v>2926981.2000000007</v>
      </c>
      <c r="H79" s="32">
        <f t="shared" si="122"/>
        <v>5777083</v>
      </c>
      <c r="I79" s="32">
        <f t="shared" si="122"/>
        <v>7985786.4000000004</v>
      </c>
      <c r="J79" s="32">
        <f t="shared" si="122"/>
        <v>9195837</v>
      </c>
      <c r="K79" s="32">
        <f t="shared" si="122"/>
        <v>8193160.2000000011</v>
      </c>
      <c r="L79" s="39">
        <f t="shared" si="122"/>
        <v>3299960.5</v>
      </c>
      <c r="M79" s="32">
        <f t="shared" si="122"/>
        <v>2278016.0000000005</v>
      </c>
      <c r="N79" s="32">
        <f t="shared" si="122"/>
        <v>1413704.5</v>
      </c>
      <c r="O79" s="32">
        <f t="shared" si="122"/>
        <v>1058879.9999999998</v>
      </c>
      <c r="P79" s="43">
        <f>SUM(D79:O79)</f>
        <v>46229745.950000003</v>
      </c>
      <c r="Q79" s="43"/>
      <c r="R79" s="43"/>
      <c r="S79" s="43"/>
      <c r="T79" s="2" t="s">
        <v>139</v>
      </c>
      <c r="U79" s="32">
        <f t="shared" ref="U79:AF79" si="123">U77*U10</f>
        <v>1031060</v>
      </c>
      <c r="V79" s="32">
        <f t="shared" si="123"/>
        <v>1031060</v>
      </c>
      <c r="W79" s="32">
        <f t="shared" si="123"/>
        <v>1230955</v>
      </c>
      <c r="X79" s="32">
        <f t="shared" si="123"/>
        <v>2860430.0000000005</v>
      </c>
      <c r="Y79" s="32">
        <f t="shared" si="123"/>
        <v>4961435</v>
      </c>
      <c r="Z79" s="32">
        <f t="shared" si="123"/>
        <v>7711847.5</v>
      </c>
      <c r="AA79" s="32">
        <f t="shared" si="123"/>
        <v>8527890</v>
      </c>
      <c r="AB79" s="32">
        <f t="shared" si="123"/>
        <v>6984342.5</v>
      </c>
      <c r="AC79" s="39">
        <f t="shared" si="123"/>
        <v>5649322.5</v>
      </c>
      <c r="AD79" s="32">
        <f t="shared" si="123"/>
        <v>3150000</v>
      </c>
      <c r="AE79" s="32">
        <f t="shared" si="123"/>
        <v>1694655</v>
      </c>
      <c r="AF79" s="32">
        <f t="shared" si="123"/>
        <v>1042637.5</v>
      </c>
      <c r="AG79" s="43">
        <f>SUM(U79:AF79)</f>
        <v>45875635</v>
      </c>
      <c r="AH79" s="43"/>
      <c r="AI79" s="43"/>
      <c r="AJ79" s="2" t="s">
        <v>139</v>
      </c>
      <c r="AK79" s="32">
        <f t="shared" ref="AK79:AV79" si="124">AK77*AK10</f>
        <v>1050280</v>
      </c>
      <c r="AL79" s="32">
        <f t="shared" si="124"/>
        <v>1050280</v>
      </c>
      <c r="AM79" s="32">
        <f t="shared" si="124"/>
        <v>1253201.5</v>
      </c>
      <c r="AN79" s="32">
        <f t="shared" si="124"/>
        <v>2908261</v>
      </c>
      <c r="AO79" s="32">
        <f t="shared" si="124"/>
        <v>5042025.5</v>
      </c>
      <c r="AP79" s="32">
        <f t="shared" si="124"/>
        <v>7835553.75</v>
      </c>
      <c r="AQ79" s="32">
        <f t="shared" si="124"/>
        <v>8664359.0000000019</v>
      </c>
      <c r="AR79" s="32">
        <f t="shared" si="124"/>
        <v>7096371.25</v>
      </c>
      <c r="AS79" s="39">
        <f t="shared" si="124"/>
        <v>5740771.25</v>
      </c>
      <c r="AT79" s="32">
        <f t="shared" si="124"/>
        <v>3202260</v>
      </c>
      <c r="AU79" s="32">
        <f t="shared" si="124"/>
        <v>1724253.4999999998</v>
      </c>
      <c r="AV79" s="32">
        <f t="shared" si="124"/>
        <v>1061938.75</v>
      </c>
      <c r="AW79" s="43">
        <f>SUM(AK79:AV79)</f>
        <v>46629555.5</v>
      </c>
    </row>
    <row r="80" spans="1:50">
      <c r="A80" s="43"/>
      <c r="B80" s="43"/>
      <c r="C80" s="2" t="s">
        <v>622</v>
      </c>
      <c r="D80" s="32">
        <f>D79</f>
        <v>1181975.5999999999</v>
      </c>
      <c r="E80" s="32">
        <f t="shared" ref="E80:O80" si="125">D80+E79</f>
        <v>2559727.9500000002</v>
      </c>
      <c r="F80" s="32">
        <f t="shared" si="125"/>
        <v>4100337.1500000004</v>
      </c>
      <c r="G80" s="32">
        <f t="shared" si="125"/>
        <v>7027318.3500000015</v>
      </c>
      <c r="H80" s="32">
        <f t="shared" si="125"/>
        <v>12804401.350000001</v>
      </c>
      <c r="I80" s="32">
        <f t="shared" si="125"/>
        <v>20790187.75</v>
      </c>
      <c r="J80" s="32">
        <f t="shared" si="125"/>
        <v>29986024.75</v>
      </c>
      <c r="K80" s="32">
        <f t="shared" si="125"/>
        <v>38179184.950000003</v>
      </c>
      <c r="L80" s="39">
        <f t="shared" si="125"/>
        <v>41479145.450000003</v>
      </c>
      <c r="M80" s="32">
        <f t="shared" si="125"/>
        <v>43757161.450000003</v>
      </c>
      <c r="N80" s="32">
        <f t="shared" si="125"/>
        <v>45170865.950000003</v>
      </c>
      <c r="O80" s="32">
        <f t="shared" si="125"/>
        <v>46229745.950000003</v>
      </c>
      <c r="P80" s="43"/>
      <c r="Q80" s="43"/>
      <c r="R80" s="43"/>
      <c r="S80" s="43"/>
      <c r="T80" s="2" t="s">
        <v>141</v>
      </c>
      <c r="U80" s="32">
        <f>U79</f>
        <v>1031060</v>
      </c>
      <c r="V80" s="32">
        <f t="shared" ref="V80:AF80" si="126">U80+V79</f>
        <v>2062120</v>
      </c>
      <c r="W80" s="32">
        <f t="shared" si="126"/>
        <v>3293075</v>
      </c>
      <c r="X80" s="32">
        <f t="shared" si="126"/>
        <v>6153505</v>
      </c>
      <c r="Y80" s="32">
        <f t="shared" si="126"/>
        <v>11114940</v>
      </c>
      <c r="Z80" s="32">
        <f t="shared" si="126"/>
        <v>18826787.5</v>
      </c>
      <c r="AA80" s="32">
        <f t="shared" si="126"/>
        <v>27354677.5</v>
      </c>
      <c r="AB80" s="32">
        <f t="shared" si="126"/>
        <v>34339020</v>
      </c>
      <c r="AC80" s="39">
        <f t="shared" si="126"/>
        <v>39988342.5</v>
      </c>
      <c r="AD80" s="32">
        <f t="shared" si="126"/>
        <v>43138342.5</v>
      </c>
      <c r="AE80" s="32">
        <f t="shared" si="126"/>
        <v>44832997.5</v>
      </c>
      <c r="AF80" s="32">
        <f t="shared" si="126"/>
        <v>45875635</v>
      </c>
      <c r="AG80" s="43"/>
      <c r="AH80" s="43"/>
      <c r="AI80" s="43"/>
      <c r="AJ80" s="2" t="s">
        <v>141</v>
      </c>
      <c r="AK80" s="32">
        <f>AK79</f>
        <v>1050280</v>
      </c>
      <c r="AL80" s="32">
        <f t="shared" ref="AL80:AV80" si="127">AK80+AL79</f>
        <v>2100560</v>
      </c>
      <c r="AM80" s="32">
        <f t="shared" si="127"/>
        <v>3353761.5</v>
      </c>
      <c r="AN80" s="32">
        <f t="shared" si="127"/>
        <v>6262022.5</v>
      </c>
      <c r="AO80" s="32">
        <f t="shared" si="127"/>
        <v>11304048</v>
      </c>
      <c r="AP80" s="32">
        <f t="shared" si="127"/>
        <v>19139601.75</v>
      </c>
      <c r="AQ80" s="32">
        <f t="shared" si="127"/>
        <v>27803960.75</v>
      </c>
      <c r="AR80" s="32">
        <f t="shared" si="127"/>
        <v>34900332</v>
      </c>
      <c r="AS80" s="39">
        <f t="shared" si="127"/>
        <v>40641103.25</v>
      </c>
      <c r="AT80" s="32">
        <f t="shared" si="127"/>
        <v>43843363.25</v>
      </c>
      <c r="AU80" s="32">
        <f t="shared" si="127"/>
        <v>45567616.75</v>
      </c>
      <c r="AV80" s="32">
        <f t="shared" si="127"/>
        <v>46629555.5</v>
      </c>
      <c r="AW80" s="43"/>
    </row>
    <row r="81" spans="1:50" s="110" customFormat="1">
      <c r="A81" s="169"/>
      <c r="B81" s="169"/>
      <c r="C81" s="9" t="s">
        <v>144</v>
      </c>
      <c r="D81" s="30">
        <f t="shared" ref="D81:O81" si="128">D79-D48</f>
        <v>-904256.10394909675</v>
      </c>
      <c r="E81" s="30">
        <f t="shared" si="128"/>
        <v>-823715.29883998283</v>
      </c>
      <c r="F81" s="30">
        <f t="shared" si="128"/>
        <v>-629630.07319398713</v>
      </c>
      <c r="G81" s="30">
        <f t="shared" si="128"/>
        <v>-554986.6580899097</v>
      </c>
      <c r="H81" s="30">
        <f>H79-H48</f>
        <v>1110852.5909982119</v>
      </c>
      <c r="I81" s="30">
        <f t="shared" si="128"/>
        <v>1119150.8790777586</v>
      </c>
      <c r="J81" s="30">
        <f t="shared" si="128"/>
        <v>915638.69785615243</v>
      </c>
      <c r="K81" s="30">
        <f t="shared" si="128"/>
        <v>1351877.9155247379</v>
      </c>
      <c r="L81" s="66">
        <f t="shared" si="128"/>
        <v>-788728.9253852549</v>
      </c>
      <c r="M81" s="30">
        <f t="shared" si="128"/>
        <v>-711828.59871761827</v>
      </c>
      <c r="N81" s="30">
        <f t="shared" si="128"/>
        <v>-437648.49797009723</v>
      </c>
      <c r="O81" s="30">
        <f t="shared" si="128"/>
        <v>-738841.03935729945</v>
      </c>
      <c r="P81" s="169">
        <f>SUM(D81:O81)</f>
        <v>-1092115.1120463852</v>
      </c>
      <c r="Q81" s="169"/>
      <c r="R81" s="169"/>
      <c r="S81" s="169"/>
      <c r="T81" s="9" t="s">
        <v>144</v>
      </c>
      <c r="U81" s="30">
        <f t="shared" ref="U81:AF81" si="129">U79-U48</f>
        <v>-1079926.1234452496</v>
      </c>
      <c r="V81" s="30">
        <f t="shared" si="129"/>
        <v>-1132307.2262231065</v>
      </c>
      <c r="W81" s="30">
        <f t="shared" si="129"/>
        <v>-1106214.4514160007</v>
      </c>
      <c r="X81" s="30">
        <f t="shared" si="129"/>
        <v>-871151.85550871165</v>
      </c>
      <c r="Y81" s="30">
        <f t="shared" si="129"/>
        <v>-450340.16144672781</v>
      </c>
      <c r="Z81" s="30">
        <f t="shared" si="129"/>
        <v>-18184.176138320938</v>
      </c>
      <c r="AA81" s="30">
        <f t="shared" si="129"/>
        <v>27944.098995583132</v>
      </c>
      <c r="AB81" s="30">
        <f t="shared" si="129"/>
        <v>-279529.04339053854</v>
      </c>
      <c r="AC81" s="66">
        <f t="shared" si="129"/>
        <v>-621201.52080039307</v>
      </c>
      <c r="AD81" s="30">
        <f t="shared" si="129"/>
        <v>-874866.03148667049</v>
      </c>
      <c r="AE81" s="30">
        <f t="shared" si="129"/>
        <v>-982255.75200443901</v>
      </c>
      <c r="AF81" s="30">
        <f t="shared" si="129"/>
        <v>-1121588.5877634287</v>
      </c>
      <c r="AG81" s="169">
        <f>SUM(U81:AF81)</f>
        <v>-8509620.8306280039</v>
      </c>
      <c r="AH81" s="169"/>
      <c r="AI81" s="169"/>
      <c r="AJ81" s="9" t="s">
        <v>144</v>
      </c>
      <c r="AK81" s="30">
        <f t="shared" ref="AK81:AV81" si="130">AK79-AK48</f>
        <v>-1181590.0535366642</v>
      </c>
      <c r="AL81" s="30">
        <f t="shared" si="130"/>
        <v>-1186812.2179917376</v>
      </c>
      <c r="AM81" s="30">
        <f t="shared" si="130"/>
        <v>-1154644.6648677308</v>
      </c>
      <c r="AN81" s="30">
        <f t="shared" si="130"/>
        <v>-1044804.261780357</v>
      </c>
      <c r="AO81" s="30">
        <f t="shared" si="130"/>
        <v>-892439.77804915607</v>
      </c>
      <c r="AP81" s="30">
        <f t="shared" si="130"/>
        <v>-498017.80113146268</v>
      </c>
      <c r="AQ81" s="30">
        <f t="shared" si="130"/>
        <v>-490537.11554438062</v>
      </c>
      <c r="AR81" s="30">
        <f t="shared" si="130"/>
        <v>-666405.7183130756</v>
      </c>
      <c r="AS81" s="66">
        <f t="shared" si="130"/>
        <v>-939420.29459042661</v>
      </c>
      <c r="AT81" s="30">
        <f t="shared" si="130"/>
        <v>-999033.82406246196</v>
      </c>
      <c r="AU81" s="30">
        <f t="shared" si="130"/>
        <v>-1172949.9492674822</v>
      </c>
      <c r="AV81" s="30">
        <f t="shared" si="130"/>
        <v>-1250870.3303846903</v>
      </c>
      <c r="AW81" s="169">
        <f>SUM(AK81:AV81)</f>
        <v>-11477526.009519627</v>
      </c>
      <c r="AX81" s="30"/>
    </row>
    <row r="82" spans="1:50" s="110" customFormat="1">
      <c r="A82" s="169"/>
      <c r="B82" s="169" t="s">
        <v>250</v>
      </c>
      <c r="C82" s="9" t="s">
        <v>623</v>
      </c>
      <c r="D82" s="30">
        <f>D81</f>
        <v>-904256.10394909675</v>
      </c>
      <c r="E82" s="30">
        <f t="shared" ref="E82:O82" si="131">D82+E81</f>
        <v>-1727971.4027890796</v>
      </c>
      <c r="F82" s="30">
        <f t="shared" si="131"/>
        <v>-2357601.4759830665</v>
      </c>
      <c r="G82" s="30">
        <f t="shared" si="131"/>
        <v>-2912588.1340729762</v>
      </c>
      <c r="H82" s="30">
        <f t="shared" si="131"/>
        <v>-1801735.5430747643</v>
      </c>
      <c r="I82" s="30">
        <f t="shared" si="131"/>
        <v>-682584.66399700567</v>
      </c>
      <c r="J82" s="30">
        <f t="shared" si="131"/>
        <v>233054.03385914676</v>
      </c>
      <c r="K82" s="30">
        <f t="shared" si="131"/>
        <v>1584931.9493838847</v>
      </c>
      <c r="L82" s="66">
        <f t="shared" si="131"/>
        <v>796203.02399862977</v>
      </c>
      <c r="M82" s="30">
        <f t="shared" si="131"/>
        <v>84374.425281011499</v>
      </c>
      <c r="N82" s="30">
        <f t="shared" si="131"/>
        <v>-353274.07268908573</v>
      </c>
      <c r="O82" s="30">
        <f t="shared" si="131"/>
        <v>-1092115.1120463852</v>
      </c>
      <c r="P82" s="169"/>
      <c r="Q82" s="169"/>
      <c r="R82" s="169"/>
      <c r="S82" s="169" t="s">
        <v>250</v>
      </c>
      <c r="T82" s="9" t="s">
        <v>145</v>
      </c>
      <c r="U82" s="30">
        <f>U81</f>
        <v>-1079926.1234452496</v>
      </c>
      <c r="V82" s="30">
        <f t="shared" ref="V82:AF82" si="132">U82+V81</f>
        <v>-2212233.3496683561</v>
      </c>
      <c r="W82" s="30">
        <f t="shared" si="132"/>
        <v>-3318447.8010843568</v>
      </c>
      <c r="X82" s="30">
        <f t="shared" si="132"/>
        <v>-4189599.6565930685</v>
      </c>
      <c r="Y82" s="30">
        <f t="shared" si="132"/>
        <v>-4639939.8180397963</v>
      </c>
      <c r="Z82" s="30">
        <f t="shared" si="132"/>
        <v>-4658123.9941781173</v>
      </c>
      <c r="AA82" s="30">
        <f t="shared" si="132"/>
        <v>-4630179.8951825341</v>
      </c>
      <c r="AB82" s="30">
        <f t="shared" si="132"/>
        <v>-4909708.9385730727</v>
      </c>
      <c r="AC82" s="66">
        <f t="shared" si="132"/>
        <v>-5530910.4593734657</v>
      </c>
      <c r="AD82" s="30">
        <f t="shared" si="132"/>
        <v>-6405776.4908601362</v>
      </c>
      <c r="AE82" s="30">
        <f t="shared" si="132"/>
        <v>-7388032.2428645752</v>
      </c>
      <c r="AF82" s="30">
        <f t="shared" si="132"/>
        <v>-8509620.8306280039</v>
      </c>
      <c r="AG82" s="169"/>
      <c r="AH82" s="169"/>
      <c r="AI82" s="169" t="s">
        <v>250</v>
      </c>
      <c r="AJ82" s="9" t="s">
        <v>145</v>
      </c>
      <c r="AK82" s="30">
        <f>AK81</f>
        <v>-1181590.0535366642</v>
      </c>
      <c r="AL82" s="30">
        <f t="shared" ref="AL82:AV82" si="133">AK82+AL81</f>
        <v>-2368402.2715284019</v>
      </c>
      <c r="AM82" s="30">
        <f t="shared" si="133"/>
        <v>-3523046.9363961327</v>
      </c>
      <c r="AN82" s="30">
        <f t="shared" si="133"/>
        <v>-4567851.1981764901</v>
      </c>
      <c r="AO82" s="30">
        <f t="shared" si="133"/>
        <v>-5460290.9762256462</v>
      </c>
      <c r="AP82" s="30">
        <f t="shared" si="133"/>
        <v>-5958308.7773571089</v>
      </c>
      <c r="AQ82" s="30">
        <f t="shared" si="133"/>
        <v>-6448845.8929014895</v>
      </c>
      <c r="AR82" s="30">
        <f t="shared" si="133"/>
        <v>-7115251.6112145651</v>
      </c>
      <c r="AS82" s="66">
        <f t="shared" si="133"/>
        <v>-8054671.9058049917</v>
      </c>
      <c r="AT82" s="30">
        <f t="shared" si="133"/>
        <v>-9053705.7298674546</v>
      </c>
      <c r="AU82" s="30">
        <f t="shared" si="133"/>
        <v>-10226655.679134937</v>
      </c>
      <c r="AV82" s="30">
        <f t="shared" si="133"/>
        <v>-11477526.009519627</v>
      </c>
      <c r="AW82" s="169"/>
      <c r="AX82" s="30"/>
    </row>
    <row r="83" spans="1:50">
      <c r="A83" s="16"/>
      <c r="B83" s="146">
        <v>1.08</v>
      </c>
      <c r="C83" s="170" t="s">
        <v>130</v>
      </c>
      <c r="D83" s="146">
        <f t="shared" ref="D83:O83" si="134">D77-$B$83</f>
        <v>5.42</v>
      </c>
      <c r="E83" s="146">
        <f t="shared" si="134"/>
        <v>5.42</v>
      </c>
      <c r="F83" s="146">
        <f t="shared" si="134"/>
        <v>5.42</v>
      </c>
      <c r="G83" s="146">
        <f t="shared" si="134"/>
        <v>5.42</v>
      </c>
      <c r="H83" s="146">
        <f t="shared" si="134"/>
        <v>5.42</v>
      </c>
      <c r="I83" s="146">
        <f t="shared" si="134"/>
        <v>4.92</v>
      </c>
      <c r="J83" s="146">
        <f t="shared" si="134"/>
        <v>4.92</v>
      </c>
      <c r="K83" s="146">
        <f t="shared" si="134"/>
        <v>4.92</v>
      </c>
      <c r="L83" s="146">
        <f t="shared" si="134"/>
        <v>3.92</v>
      </c>
      <c r="M83" s="146">
        <f t="shared" si="134"/>
        <v>3.92</v>
      </c>
      <c r="N83" s="146">
        <f t="shared" si="134"/>
        <v>3.92</v>
      </c>
      <c r="O83" s="146">
        <f t="shared" si="134"/>
        <v>3.92</v>
      </c>
      <c r="P83" s="34">
        <f>P84/P11</f>
        <v>4.793940048879282</v>
      </c>
      <c r="Q83" s="16"/>
      <c r="R83" s="16"/>
      <c r="S83" s="146">
        <v>1.08</v>
      </c>
      <c r="T83" s="170" t="s">
        <v>130</v>
      </c>
      <c r="U83" s="146">
        <f>U77-$S$83</f>
        <v>3.92</v>
      </c>
      <c r="V83" s="146">
        <f t="shared" ref="V83:AF83" si="135">V77-$S$83</f>
        <v>3.92</v>
      </c>
      <c r="W83" s="146">
        <f t="shared" si="135"/>
        <v>3.92</v>
      </c>
      <c r="X83" s="146">
        <f t="shared" si="135"/>
        <v>3.92</v>
      </c>
      <c r="Y83" s="146">
        <f t="shared" si="135"/>
        <v>3.92</v>
      </c>
      <c r="Z83" s="146">
        <f t="shared" si="135"/>
        <v>3.92</v>
      </c>
      <c r="AA83" s="146">
        <f t="shared" si="135"/>
        <v>3.92</v>
      </c>
      <c r="AB83" s="146">
        <f t="shared" si="135"/>
        <v>3.92</v>
      </c>
      <c r="AC83" s="146">
        <f t="shared" si="135"/>
        <v>3.92</v>
      </c>
      <c r="AD83" s="146">
        <f t="shared" si="135"/>
        <v>3.92</v>
      </c>
      <c r="AE83" s="146">
        <f t="shared" si="135"/>
        <v>3.92</v>
      </c>
      <c r="AF83" s="146">
        <f t="shared" si="135"/>
        <v>3.92</v>
      </c>
      <c r="AG83" s="16">
        <f>AG84/AG11</f>
        <v>3.9199999999999995</v>
      </c>
      <c r="AH83" s="16"/>
      <c r="AI83" s="146">
        <v>1.08</v>
      </c>
      <c r="AJ83" s="170" t="s">
        <v>130</v>
      </c>
      <c r="AK83" s="146">
        <f>AK77-$S$83</f>
        <v>3.92</v>
      </c>
      <c r="AL83" s="146">
        <f t="shared" ref="AL83:AV83" si="136">AL77-$S$83</f>
        <v>3.92</v>
      </c>
      <c r="AM83" s="146">
        <f t="shared" si="136"/>
        <v>3.92</v>
      </c>
      <c r="AN83" s="146">
        <f t="shared" si="136"/>
        <v>3.92</v>
      </c>
      <c r="AO83" s="146">
        <f t="shared" si="136"/>
        <v>3.92</v>
      </c>
      <c r="AP83" s="146">
        <f t="shared" si="136"/>
        <v>3.92</v>
      </c>
      <c r="AQ83" s="146">
        <f t="shared" si="136"/>
        <v>3.92</v>
      </c>
      <c r="AR83" s="146">
        <f t="shared" si="136"/>
        <v>3.92</v>
      </c>
      <c r="AS83" s="146">
        <f t="shared" si="136"/>
        <v>3.92</v>
      </c>
      <c r="AT83" s="146">
        <f t="shared" si="136"/>
        <v>3.92</v>
      </c>
      <c r="AU83" s="146">
        <f t="shared" si="136"/>
        <v>3.92</v>
      </c>
      <c r="AV83" s="146">
        <f t="shared" si="136"/>
        <v>3.92</v>
      </c>
      <c r="AW83" s="16">
        <f>AW84/AW11</f>
        <v>3.9199999999999995</v>
      </c>
    </row>
    <row r="84" spans="1:50">
      <c r="A84" s="43"/>
      <c r="B84" s="34">
        <f>D77-B83</f>
        <v>5.42</v>
      </c>
      <c r="C84" s="2" t="s">
        <v>137</v>
      </c>
      <c r="D84" s="32">
        <f t="shared" ref="D84:O84" si="137">D83*D11</f>
        <v>301102.13799999998</v>
      </c>
      <c r="E84" s="32">
        <f t="shared" si="137"/>
        <v>348947.18800000002</v>
      </c>
      <c r="F84" s="32">
        <f t="shared" si="137"/>
        <v>399799.25399999996</v>
      </c>
      <c r="G84" s="32">
        <f t="shared" si="137"/>
        <v>569478.31599999999</v>
      </c>
      <c r="H84" s="32">
        <f t="shared" si="137"/>
        <v>828499.03200000001</v>
      </c>
      <c r="I84" s="32">
        <f t="shared" si="137"/>
        <v>1020998.892</v>
      </c>
      <c r="J84" s="32">
        <f t="shared" si="137"/>
        <v>1112674.7279999999</v>
      </c>
      <c r="K84" s="32">
        <f t="shared" si="137"/>
        <v>983080.94400000002</v>
      </c>
      <c r="L84" s="39">
        <f t="shared" si="137"/>
        <v>570334.52</v>
      </c>
      <c r="M84" s="32">
        <f t="shared" si="137"/>
        <v>431405.016</v>
      </c>
      <c r="N84" s="32">
        <f t="shared" si="137"/>
        <v>350498.96</v>
      </c>
      <c r="O84" s="32">
        <f t="shared" si="137"/>
        <v>274196.55200000003</v>
      </c>
      <c r="P84" s="43">
        <f>SUM(D84:O84)</f>
        <v>7191015.54</v>
      </c>
      <c r="Q84" s="43"/>
      <c r="R84" s="43"/>
      <c r="S84" s="43"/>
      <c r="T84" s="2" t="s">
        <v>137</v>
      </c>
      <c r="U84" s="32">
        <f t="shared" ref="U84:AF84" si="138">U83*U11</f>
        <v>245713.44</v>
      </c>
      <c r="V84" s="32">
        <f t="shared" si="138"/>
        <v>245713.44</v>
      </c>
      <c r="W84" s="32">
        <f t="shared" si="138"/>
        <v>257712.56</v>
      </c>
      <c r="X84" s="32">
        <f t="shared" si="138"/>
        <v>402050.88</v>
      </c>
      <c r="Y84" s="32">
        <f t="shared" si="138"/>
        <v>576518.31999999995</v>
      </c>
      <c r="Z84" s="32">
        <f t="shared" si="138"/>
        <v>816651.64</v>
      </c>
      <c r="AA84" s="32">
        <f t="shared" si="138"/>
        <v>886390.4</v>
      </c>
      <c r="AB84" s="32">
        <f t="shared" si="138"/>
        <v>739227.72</v>
      </c>
      <c r="AC84" s="39">
        <f t="shared" si="138"/>
        <v>640388.84</v>
      </c>
      <c r="AD84" s="32">
        <f t="shared" si="138"/>
        <v>421713.6</v>
      </c>
      <c r="AE84" s="32">
        <f t="shared" si="138"/>
        <v>302424.08</v>
      </c>
      <c r="AF84" s="32">
        <f t="shared" si="138"/>
        <v>241619</v>
      </c>
      <c r="AG84" s="43">
        <f>SUM(U84:AF84)</f>
        <v>5776123.919999999</v>
      </c>
      <c r="AH84" s="43"/>
      <c r="AI84" s="43"/>
      <c r="AJ84" s="2" t="s">
        <v>137</v>
      </c>
      <c r="AK84" s="32">
        <f t="shared" ref="AK84:AV84" si="139">AK83*AK11</f>
        <v>245713.44</v>
      </c>
      <c r="AL84" s="32">
        <f t="shared" si="139"/>
        <v>245713.44</v>
      </c>
      <c r="AM84" s="32">
        <f t="shared" si="139"/>
        <v>257712.56</v>
      </c>
      <c r="AN84" s="32">
        <f t="shared" si="139"/>
        <v>402050.88</v>
      </c>
      <c r="AO84" s="32">
        <f t="shared" si="139"/>
        <v>576518.31999999995</v>
      </c>
      <c r="AP84" s="32">
        <f t="shared" si="139"/>
        <v>816651.64</v>
      </c>
      <c r="AQ84" s="32">
        <f t="shared" si="139"/>
        <v>886390.4</v>
      </c>
      <c r="AR84" s="32">
        <f t="shared" si="139"/>
        <v>739227.72</v>
      </c>
      <c r="AS84" s="39">
        <f t="shared" si="139"/>
        <v>640388.84</v>
      </c>
      <c r="AT84" s="32">
        <f t="shared" si="139"/>
        <v>421713.6</v>
      </c>
      <c r="AU84" s="32">
        <f t="shared" si="139"/>
        <v>302424.08</v>
      </c>
      <c r="AV84" s="32">
        <f t="shared" si="139"/>
        <v>241619</v>
      </c>
      <c r="AW84" s="43">
        <f>SUM(AK84:AV84)</f>
        <v>5776123.919999999</v>
      </c>
    </row>
    <row r="85" spans="1:50">
      <c r="A85" s="43"/>
      <c r="B85" s="43"/>
      <c r="C85" s="2" t="s">
        <v>624</v>
      </c>
      <c r="D85" s="32">
        <f>D84</f>
        <v>301102.13799999998</v>
      </c>
      <c r="E85" s="32">
        <f t="shared" ref="E85:O85" si="140">D85+E84</f>
        <v>650049.326</v>
      </c>
      <c r="F85" s="32">
        <f t="shared" si="140"/>
        <v>1049848.58</v>
      </c>
      <c r="G85" s="32">
        <f t="shared" si="140"/>
        <v>1619326.8960000002</v>
      </c>
      <c r="H85" s="32">
        <f t="shared" si="140"/>
        <v>2447825.9280000003</v>
      </c>
      <c r="I85" s="32">
        <f t="shared" si="140"/>
        <v>3468824.8200000003</v>
      </c>
      <c r="J85" s="32">
        <f t="shared" si="140"/>
        <v>4581499.5480000004</v>
      </c>
      <c r="K85" s="32">
        <f t="shared" si="140"/>
        <v>5564580.4920000006</v>
      </c>
      <c r="L85" s="39">
        <f t="shared" si="140"/>
        <v>6134915.0120000001</v>
      </c>
      <c r="M85" s="32">
        <f t="shared" si="140"/>
        <v>6566320.0279999999</v>
      </c>
      <c r="N85" s="32">
        <f t="shared" si="140"/>
        <v>6916818.9879999999</v>
      </c>
      <c r="O85" s="32">
        <f t="shared" si="140"/>
        <v>7191015.54</v>
      </c>
      <c r="P85" s="43"/>
      <c r="Q85" s="43"/>
      <c r="R85" s="43"/>
      <c r="S85" s="43"/>
      <c r="T85" s="2" t="s">
        <v>138</v>
      </c>
      <c r="U85" s="32">
        <f>U84</f>
        <v>245713.44</v>
      </c>
      <c r="V85" s="32">
        <f t="shared" ref="V85:AF85" si="141">U85+V84</f>
        <v>491426.88</v>
      </c>
      <c r="W85" s="32">
        <f t="shared" si="141"/>
        <v>749139.44</v>
      </c>
      <c r="X85" s="32">
        <f t="shared" si="141"/>
        <v>1151190.3199999998</v>
      </c>
      <c r="Y85" s="32">
        <f t="shared" si="141"/>
        <v>1727708.6399999997</v>
      </c>
      <c r="Z85" s="32">
        <f t="shared" si="141"/>
        <v>2544360.2799999998</v>
      </c>
      <c r="AA85" s="32">
        <f t="shared" si="141"/>
        <v>3430750.6799999997</v>
      </c>
      <c r="AB85" s="32">
        <f t="shared" si="141"/>
        <v>4169978.3999999994</v>
      </c>
      <c r="AC85" s="39">
        <f t="shared" si="141"/>
        <v>4810367.2399999993</v>
      </c>
      <c r="AD85" s="32">
        <f t="shared" si="141"/>
        <v>5232080.8399999989</v>
      </c>
      <c r="AE85" s="32">
        <f t="shared" si="141"/>
        <v>5534504.919999999</v>
      </c>
      <c r="AF85" s="32">
        <f t="shared" si="141"/>
        <v>5776123.919999999</v>
      </c>
      <c r="AG85" s="43"/>
      <c r="AH85" s="43"/>
      <c r="AI85" s="43"/>
      <c r="AJ85" s="2" t="s">
        <v>138</v>
      </c>
      <c r="AK85" s="32">
        <f>AK84</f>
        <v>245713.44</v>
      </c>
      <c r="AL85" s="32">
        <f t="shared" ref="AL85:AV85" si="142">AK85+AL84</f>
        <v>491426.88</v>
      </c>
      <c r="AM85" s="32">
        <f t="shared" si="142"/>
        <v>749139.44</v>
      </c>
      <c r="AN85" s="32">
        <f t="shared" si="142"/>
        <v>1151190.3199999998</v>
      </c>
      <c r="AO85" s="32">
        <f t="shared" si="142"/>
        <v>1727708.6399999997</v>
      </c>
      <c r="AP85" s="32">
        <f t="shared" si="142"/>
        <v>2544360.2799999998</v>
      </c>
      <c r="AQ85" s="32">
        <f t="shared" si="142"/>
        <v>3430750.6799999997</v>
      </c>
      <c r="AR85" s="32">
        <f t="shared" si="142"/>
        <v>4169978.3999999994</v>
      </c>
      <c r="AS85" s="39">
        <f t="shared" si="142"/>
        <v>4810367.2399999993</v>
      </c>
      <c r="AT85" s="32">
        <f t="shared" si="142"/>
        <v>5232080.8399999989</v>
      </c>
      <c r="AU85" s="32">
        <f t="shared" si="142"/>
        <v>5534504.919999999</v>
      </c>
      <c r="AV85" s="32">
        <f t="shared" si="142"/>
        <v>5776123.919999999</v>
      </c>
      <c r="AW85" s="43"/>
    </row>
    <row r="86" spans="1:50" s="110" customFormat="1">
      <c r="A86" s="169"/>
      <c r="B86" s="169"/>
      <c r="C86" s="9" t="s">
        <v>212</v>
      </c>
      <c r="D86" s="30">
        <f t="shared" ref="D86:O86" si="143">D84-D52</f>
        <v>87700.926338327175</v>
      </c>
      <c r="E86" s="30">
        <f t="shared" si="143"/>
        <v>92533.593656941113</v>
      </c>
      <c r="F86" s="30">
        <f t="shared" si="143"/>
        <v>144237.39201516027</v>
      </c>
      <c r="G86" s="30">
        <f t="shared" si="143"/>
        <v>107168.34269540058</v>
      </c>
      <c r="H86" s="30">
        <f t="shared" si="143"/>
        <v>280451.3850471637</v>
      </c>
      <c r="I86" s="30">
        <f t="shared" si="143"/>
        <v>183774.68290226546</v>
      </c>
      <c r="J86" s="30">
        <f t="shared" si="143"/>
        <v>114268.43695854978</v>
      </c>
      <c r="K86" s="30">
        <f t="shared" si="143"/>
        <v>206528.90965872153</v>
      </c>
      <c r="L86" s="66">
        <f t="shared" si="143"/>
        <v>10368.399734543986</v>
      </c>
      <c r="M86" s="30">
        <f t="shared" si="143"/>
        <v>38470.099890598736</v>
      </c>
      <c r="N86" s="30">
        <f t="shared" si="143"/>
        <v>194379.83467404931</v>
      </c>
      <c r="O86" s="30">
        <f t="shared" si="143"/>
        <v>115596.97138339106</v>
      </c>
      <c r="P86" s="169">
        <f>SUM(D86:O86)</f>
        <v>1575478.9749551127</v>
      </c>
      <c r="Q86" s="169"/>
      <c r="R86" s="169"/>
      <c r="S86" s="169"/>
      <c r="T86" s="9" t="s">
        <v>212</v>
      </c>
      <c r="U86" s="30">
        <f t="shared" ref="U86:AF86" si="144">U84-U52</f>
        <v>19061.823737237719</v>
      </c>
      <c r="V86" s="30">
        <f t="shared" si="144"/>
        <v>3139.6063865421747</v>
      </c>
      <c r="W86" s="30">
        <f t="shared" si="144"/>
        <v>-1804.0811641795444</v>
      </c>
      <c r="X86" s="30">
        <f t="shared" si="144"/>
        <v>2641.4355592712527</v>
      </c>
      <c r="Y86" s="30">
        <f t="shared" si="144"/>
        <v>4349.082617270411</v>
      </c>
      <c r="Z86" s="30">
        <f t="shared" si="144"/>
        <v>-17909.057741519064</v>
      </c>
      <c r="AA86" s="30">
        <f t="shared" si="144"/>
        <v>-34831.465761504252</v>
      </c>
      <c r="AB86" s="30">
        <f t="shared" si="144"/>
        <v>-31967.358066406101</v>
      </c>
      <c r="AC86" s="66">
        <f t="shared" si="144"/>
        <v>-41945.15390274988</v>
      </c>
      <c r="AD86" s="30">
        <f t="shared" si="144"/>
        <v>-32431.293962285854</v>
      </c>
      <c r="AE86" s="30">
        <f t="shared" si="144"/>
        <v>3879.5567084990907</v>
      </c>
      <c r="AF86" s="30">
        <f t="shared" si="144"/>
        <v>5482.091741840617</v>
      </c>
      <c r="AG86" s="169">
        <f>SUM(U86:AF86)</f>
        <v>-122334.81384798343</v>
      </c>
      <c r="AH86" s="169"/>
      <c r="AI86" s="169"/>
      <c r="AJ86" s="9" t="s">
        <v>212</v>
      </c>
      <c r="AK86" s="30">
        <f t="shared" ref="AK86:AV86" si="145">AK84-AK52</f>
        <v>-12862.985328325711</v>
      </c>
      <c r="AL86" s="30">
        <f t="shared" si="145"/>
        <v>-14421.311262233357</v>
      </c>
      <c r="AM86" s="30">
        <f t="shared" si="145"/>
        <v>-15735.726557698916</v>
      </c>
      <c r="AN86" s="30">
        <f t="shared" si="145"/>
        <v>-29844.289507076144</v>
      </c>
      <c r="AO86" s="30">
        <f t="shared" si="145"/>
        <v>-62737.326558741624</v>
      </c>
      <c r="AP86" s="30">
        <f t="shared" si="145"/>
        <v>-84966.912793809432</v>
      </c>
      <c r="AQ86" s="30">
        <f t="shared" si="145"/>
        <v>-105785.18383346742</v>
      </c>
      <c r="AR86" s="30">
        <f t="shared" si="145"/>
        <v>-86082.080822327407</v>
      </c>
      <c r="AS86" s="66">
        <f t="shared" si="145"/>
        <v>-89365.099459032179</v>
      </c>
      <c r="AT86" s="30">
        <f t="shared" si="145"/>
        <v>-54655.253749451425</v>
      </c>
      <c r="AU86" s="30">
        <f t="shared" si="145"/>
        <v>-40278.878482781583</v>
      </c>
      <c r="AV86" s="30">
        <f t="shared" si="145"/>
        <v>-33346.591680764745</v>
      </c>
      <c r="AW86" s="169">
        <f>SUM(AK86:AV86)</f>
        <v>-630081.64003570983</v>
      </c>
      <c r="AX86" s="30"/>
    </row>
    <row r="87" spans="1:50" s="110" customFormat="1">
      <c r="A87" s="169"/>
      <c r="B87" s="169"/>
      <c r="C87" s="9" t="s">
        <v>625</v>
      </c>
      <c r="D87" s="30">
        <f>D86</f>
        <v>87700.926338327175</v>
      </c>
      <c r="E87" s="30">
        <f t="shared" ref="E87:O87" si="146">D87+E86</f>
        <v>180234.51999526829</v>
      </c>
      <c r="F87" s="30">
        <f t="shared" si="146"/>
        <v>324471.91201042855</v>
      </c>
      <c r="G87" s="30">
        <f t="shared" si="146"/>
        <v>431640.25470582914</v>
      </c>
      <c r="H87" s="30">
        <f t="shared" si="146"/>
        <v>712091.63975299289</v>
      </c>
      <c r="I87" s="30">
        <f t="shared" si="146"/>
        <v>895866.32265525835</v>
      </c>
      <c r="J87" s="30">
        <f t="shared" si="146"/>
        <v>1010134.7596138081</v>
      </c>
      <c r="K87" s="30">
        <f t="shared" si="146"/>
        <v>1216663.6692725297</v>
      </c>
      <c r="L87" s="66">
        <f t="shared" si="146"/>
        <v>1227032.0690070735</v>
      </c>
      <c r="M87" s="30">
        <f t="shared" si="146"/>
        <v>1265502.1688976723</v>
      </c>
      <c r="N87" s="30">
        <f t="shared" si="146"/>
        <v>1459882.0035717217</v>
      </c>
      <c r="O87" s="30">
        <f t="shared" si="146"/>
        <v>1575478.9749551127</v>
      </c>
      <c r="P87" s="169"/>
      <c r="Q87" s="169"/>
      <c r="R87" s="169"/>
      <c r="S87" s="169"/>
      <c r="T87" s="9" t="s">
        <v>143</v>
      </c>
      <c r="U87" s="30">
        <f>U86</f>
        <v>19061.823737237719</v>
      </c>
      <c r="V87" s="30">
        <f t="shared" ref="V87:AF87" si="147">U87+V86</f>
        <v>22201.430123779894</v>
      </c>
      <c r="W87" s="30">
        <f t="shared" si="147"/>
        <v>20397.348959600349</v>
      </c>
      <c r="X87" s="30">
        <f t="shared" si="147"/>
        <v>23038.784518871602</v>
      </c>
      <c r="Y87" s="30">
        <f t="shared" si="147"/>
        <v>27387.867136142013</v>
      </c>
      <c r="Z87" s="30">
        <f t="shared" si="147"/>
        <v>9478.8093946229492</v>
      </c>
      <c r="AA87" s="30">
        <f t="shared" si="147"/>
        <v>-25352.656366881303</v>
      </c>
      <c r="AB87" s="30">
        <f t="shared" si="147"/>
        <v>-57320.014433287404</v>
      </c>
      <c r="AC87" s="66">
        <f t="shared" si="147"/>
        <v>-99265.168336037284</v>
      </c>
      <c r="AD87" s="30">
        <f t="shared" si="147"/>
        <v>-131696.46229832314</v>
      </c>
      <c r="AE87" s="30">
        <f t="shared" si="147"/>
        <v>-127816.90558982405</v>
      </c>
      <c r="AF87" s="30">
        <f t="shared" si="147"/>
        <v>-122334.81384798343</v>
      </c>
      <c r="AG87" s="169"/>
      <c r="AH87" s="169"/>
      <c r="AI87" s="169"/>
      <c r="AJ87" s="9" t="s">
        <v>143</v>
      </c>
      <c r="AK87" s="30">
        <f>AK86</f>
        <v>-12862.985328325711</v>
      </c>
      <c r="AL87" s="30">
        <f t="shared" ref="AL87:AV87" si="148">AK87+AL86</f>
        <v>-27284.296590559068</v>
      </c>
      <c r="AM87" s="30">
        <f t="shared" si="148"/>
        <v>-43020.023148257984</v>
      </c>
      <c r="AN87" s="30">
        <f t="shared" si="148"/>
        <v>-72864.312655334128</v>
      </c>
      <c r="AO87" s="30">
        <f t="shared" si="148"/>
        <v>-135601.63921407575</v>
      </c>
      <c r="AP87" s="30">
        <f t="shared" si="148"/>
        <v>-220568.55200788518</v>
      </c>
      <c r="AQ87" s="30">
        <f t="shared" si="148"/>
        <v>-326353.73584135261</v>
      </c>
      <c r="AR87" s="30">
        <f t="shared" si="148"/>
        <v>-412435.81666368002</v>
      </c>
      <c r="AS87" s="66">
        <f t="shared" si="148"/>
        <v>-501800.91612271219</v>
      </c>
      <c r="AT87" s="30">
        <f t="shared" si="148"/>
        <v>-556456.16987216356</v>
      </c>
      <c r="AU87" s="30">
        <f t="shared" si="148"/>
        <v>-596735.04835494515</v>
      </c>
      <c r="AV87" s="30">
        <f t="shared" si="148"/>
        <v>-630081.64003570983</v>
      </c>
      <c r="AW87" s="169"/>
      <c r="AX87" s="30"/>
    </row>
    <row r="88" spans="1:50">
      <c r="A88" s="43"/>
      <c r="B88" s="43"/>
      <c r="C88" s="2" t="s">
        <v>203</v>
      </c>
      <c r="D88" s="32">
        <f>SUM(D79,D84)</f>
        <v>1483077.7379999999</v>
      </c>
      <c r="E88" s="32">
        <f t="shared" ref="E88:O88" si="149">SUM(E79,E84)</f>
        <v>1726699.5380000004</v>
      </c>
      <c r="F88" s="32">
        <f t="shared" si="149"/>
        <v>1940408.4539999999</v>
      </c>
      <c r="G88" s="32">
        <f t="shared" si="149"/>
        <v>3496459.5160000008</v>
      </c>
      <c r="H88" s="32">
        <f t="shared" si="149"/>
        <v>6605582.0319999997</v>
      </c>
      <c r="I88" s="32">
        <f t="shared" si="149"/>
        <v>9006785.2919999994</v>
      </c>
      <c r="J88" s="32">
        <f t="shared" si="149"/>
        <v>10308511.728</v>
      </c>
      <c r="K88" s="32">
        <f t="shared" si="149"/>
        <v>9176241.1440000013</v>
      </c>
      <c r="L88" s="39">
        <f t="shared" si="149"/>
        <v>3870295.02</v>
      </c>
      <c r="M88" s="32">
        <f t="shared" si="149"/>
        <v>2709421.0160000003</v>
      </c>
      <c r="N88" s="32">
        <f t="shared" si="149"/>
        <v>1764203.46</v>
      </c>
      <c r="O88" s="32">
        <f t="shared" si="149"/>
        <v>1333076.5519999997</v>
      </c>
      <c r="P88" s="43">
        <f>SUM(D88:O88)</f>
        <v>53420761.49000001</v>
      </c>
      <c r="Q88" s="43"/>
      <c r="R88" s="43"/>
      <c r="S88" s="43"/>
      <c r="T88" s="2" t="s">
        <v>203</v>
      </c>
      <c r="U88" s="32">
        <f>SUM(U79,U84)</f>
        <v>1276773.44</v>
      </c>
      <c r="V88" s="32">
        <f t="shared" ref="V88:AF88" si="150">SUM(V79,V84)</f>
        <v>1276773.44</v>
      </c>
      <c r="W88" s="32">
        <f t="shared" si="150"/>
        <v>1488667.56</v>
      </c>
      <c r="X88" s="32">
        <f t="shared" si="150"/>
        <v>3262480.8800000004</v>
      </c>
      <c r="Y88" s="32">
        <f t="shared" si="150"/>
        <v>5537953.3200000003</v>
      </c>
      <c r="Z88" s="32">
        <f t="shared" si="150"/>
        <v>8528499.1400000006</v>
      </c>
      <c r="AA88" s="32">
        <f t="shared" si="150"/>
        <v>9414280.4000000004</v>
      </c>
      <c r="AB88" s="32">
        <f t="shared" si="150"/>
        <v>7723570.2199999997</v>
      </c>
      <c r="AC88" s="39">
        <f t="shared" si="150"/>
        <v>6289711.3399999999</v>
      </c>
      <c r="AD88" s="32">
        <f t="shared" si="150"/>
        <v>3571713.6</v>
      </c>
      <c r="AE88" s="32">
        <f t="shared" si="150"/>
        <v>1997079.08</v>
      </c>
      <c r="AF88" s="32">
        <f t="shared" si="150"/>
        <v>1284256.5</v>
      </c>
      <c r="AG88" s="43">
        <f>SUM(U88:AF88)</f>
        <v>51651758.919999994</v>
      </c>
      <c r="AH88" s="43"/>
      <c r="AI88" s="43"/>
      <c r="AJ88" s="2" t="s">
        <v>203</v>
      </c>
      <c r="AK88" s="32">
        <f>SUM(AK79,AK84)</f>
        <v>1295993.44</v>
      </c>
      <c r="AL88" s="32">
        <f t="shared" ref="AL88:AV88" si="151">SUM(AL79,AL84)</f>
        <v>1295993.44</v>
      </c>
      <c r="AM88" s="32">
        <f t="shared" si="151"/>
        <v>1510914.06</v>
      </c>
      <c r="AN88" s="32">
        <f t="shared" si="151"/>
        <v>3310311.88</v>
      </c>
      <c r="AO88" s="32">
        <f t="shared" si="151"/>
        <v>5618543.8200000003</v>
      </c>
      <c r="AP88" s="32">
        <f t="shared" si="151"/>
        <v>8652205.3900000006</v>
      </c>
      <c r="AQ88" s="32">
        <f t="shared" si="151"/>
        <v>9550749.4000000022</v>
      </c>
      <c r="AR88" s="32">
        <f t="shared" si="151"/>
        <v>7835598.9699999997</v>
      </c>
      <c r="AS88" s="39">
        <f t="shared" si="151"/>
        <v>6381160.0899999999</v>
      </c>
      <c r="AT88" s="32">
        <f t="shared" si="151"/>
        <v>3623973.6</v>
      </c>
      <c r="AU88" s="32">
        <f t="shared" si="151"/>
        <v>2026677.5799999998</v>
      </c>
      <c r="AV88" s="32">
        <f t="shared" si="151"/>
        <v>1303557.75</v>
      </c>
      <c r="AW88" s="43">
        <f>SUM(AK88:AV88)</f>
        <v>52405679.420000009</v>
      </c>
    </row>
    <row r="89" spans="1:50">
      <c r="A89" s="43"/>
      <c r="B89" s="43"/>
      <c r="C89" s="2" t="s">
        <v>626</v>
      </c>
      <c r="D89" s="32">
        <f>D88</f>
        <v>1483077.7379999999</v>
      </c>
      <c r="E89" s="32">
        <f t="shared" ref="E89:O89" si="152">E88+D89</f>
        <v>3209777.2760000005</v>
      </c>
      <c r="F89" s="32">
        <f t="shared" si="152"/>
        <v>5150185.7300000004</v>
      </c>
      <c r="G89" s="32">
        <f t="shared" si="152"/>
        <v>8646645.2460000012</v>
      </c>
      <c r="H89" s="32">
        <f t="shared" si="152"/>
        <v>15252227.278000001</v>
      </c>
      <c r="I89" s="32">
        <f t="shared" si="152"/>
        <v>24259012.57</v>
      </c>
      <c r="J89" s="32">
        <f t="shared" si="152"/>
        <v>34567524.298</v>
      </c>
      <c r="K89" s="32">
        <f t="shared" si="152"/>
        <v>43743765.442000002</v>
      </c>
      <c r="L89" s="39">
        <f t="shared" si="152"/>
        <v>47614060.462000005</v>
      </c>
      <c r="M89" s="32">
        <f t="shared" si="152"/>
        <v>50323481.478000008</v>
      </c>
      <c r="N89" s="32">
        <f t="shared" si="152"/>
        <v>52087684.938000008</v>
      </c>
      <c r="O89" s="32">
        <f t="shared" si="152"/>
        <v>53420761.49000001</v>
      </c>
      <c r="P89" s="43"/>
      <c r="Q89" s="43"/>
      <c r="R89" s="43"/>
      <c r="S89" s="43"/>
      <c r="T89" s="2" t="s">
        <v>204</v>
      </c>
      <c r="U89" s="32">
        <f>U88</f>
        <v>1276773.44</v>
      </c>
      <c r="V89" s="32">
        <f t="shared" ref="V89:AF89" si="153">V88+U89</f>
        <v>2553546.88</v>
      </c>
      <c r="W89" s="32">
        <f t="shared" si="153"/>
        <v>4042214.44</v>
      </c>
      <c r="X89" s="32">
        <f t="shared" si="153"/>
        <v>7304695.3200000003</v>
      </c>
      <c r="Y89" s="32">
        <f t="shared" si="153"/>
        <v>12842648.640000001</v>
      </c>
      <c r="Z89" s="32">
        <f t="shared" si="153"/>
        <v>21371147.780000001</v>
      </c>
      <c r="AA89" s="32">
        <f t="shared" si="153"/>
        <v>30785428.18</v>
      </c>
      <c r="AB89" s="32">
        <f t="shared" si="153"/>
        <v>38508998.399999999</v>
      </c>
      <c r="AC89" s="39">
        <f t="shared" si="153"/>
        <v>44798709.739999995</v>
      </c>
      <c r="AD89" s="32">
        <f t="shared" si="153"/>
        <v>48370423.339999996</v>
      </c>
      <c r="AE89" s="32">
        <f t="shared" si="153"/>
        <v>50367502.419999994</v>
      </c>
      <c r="AF89" s="32">
        <f t="shared" si="153"/>
        <v>51651758.919999994</v>
      </c>
      <c r="AG89" s="43"/>
      <c r="AH89" s="43"/>
      <c r="AI89" s="43"/>
      <c r="AJ89" s="2" t="s">
        <v>204</v>
      </c>
      <c r="AK89" s="32">
        <f>AK88</f>
        <v>1295993.44</v>
      </c>
      <c r="AL89" s="32">
        <f t="shared" ref="AL89:AV89" si="154">AL88+AK89</f>
        <v>2591986.88</v>
      </c>
      <c r="AM89" s="32">
        <f t="shared" si="154"/>
        <v>4102900.94</v>
      </c>
      <c r="AN89" s="32">
        <f t="shared" si="154"/>
        <v>7413212.8200000003</v>
      </c>
      <c r="AO89" s="32">
        <f t="shared" si="154"/>
        <v>13031756.640000001</v>
      </c>
      <c r="AP89" s="32">
        <f t="shared" si="154"/>
        <v>21683962.030000001</v>
      </c>
      <c r="AQ89" s="32">
        <f t="shared" si="154"/>
        <v>31234711.430000003</v>
      </c>
      <c r="AR89" s="32">
        <f t="shared" si="154"/>
        <v>39070310.400000006</v>
      </c>
      <c r="AS89" s="39">
        <f t="shared" si="154"/>
        <v>45451470.49000001</v>
      </c>
      <c r="AT89" s="32">
        <f t="shared" si="154"/>
        <v>49075444.090000011</v>
      </c>
      <c r="AU89" s="32">
        <f t="shared" si="154"/>
        <v>51102121.670000009</v>
      </c>
      <c r="AV89" s="32">
        <f t="shared" si="154"/>
        <v>52405679.420000009</v>
      </c>
      <c r="AW89" s="43"/>
    </row>
    <row r="90" spans="1:50">
      <c r="B90" s="13"/>
      <c r="C90" s="2" t="s">
        <v>213</v>
      </c>
      <c r="D90" s="30">
        <f>D88-D58</f>
        <v>-1016555.1776107694</v>
      </c>
      <c r="E90" s="30">
        <f t="shared" ref="E90:O90" si="155">E88-E58</f>
        <v>-951181.70518304151</v>
      </c>
      <c r="F90" s="30">
        <f t="shared" si="155"/>
        <v>-585392.68117882684</v>
      </c>
      <c r="G90" s="30">
        <f t="shared" si="155"/>
        <v>-507818.31539450912</v>
      </c>
      <c r="H90" s="30">
        <f t="shared" si="155"/>
        <v>1361303.9760453757</v>
      </c>
      <c r="I90" s="30">
        <f t="shared" si="155"/>
        <v>1302925.561980023</v>
      </c>
      <c r="J90" s="30">
        <f t="shared" si="155"/>
        <v>1029907.134814702</v>
      </c>
      <c r="K90" s="30">
        <f t="shared" si="155"/>
        <v>1558406.8251834596</v>
      </c>
      <c r="L90" s="30">
        <f t="shared" si="155"/>
        <v>-818360.52565071126</v>
      </c>
      <c r="M90" s="30">
        <f t="shared" si="155"/>
        <v>-828358.49882701971</v>
      </c>
      <c r="N90" s="30">
        <f t="shared" si="155"/>
        <v>-428268.6632960476</v>
      </c>
      <c r="O90" s="30">
        <f t="shared" si="155"/>
        <v>-813244.0679739085</v>
      </c>
      <c r="P90" s="169">
        <f>SUM(D90:O90)</f>
        <v>-696636.13709127391</v>
      </c>
      <c r="Q90" s="43"/>
      <c r="R90" s="43"/>
      <c r="S90" s="43"/>
      <c r="T90" s="2" t="s">
        <v>213</v>
      </c>
      <c r="U90" s="30">
        <f>U88-U58</f>
        <v>-1260864.299708012</v>
      </c>
      <c r="V90" s="30">
        <f t="shared" ref="V90:AF90" si="156">V88-V58</f>
        <v>-1349167.6198365646</v>
      </c>
      <c r="W90" s="30">
        <f t="shared" si="156"/>
        <v>-1208018.5325801801</v>
      </c>
      <c r="X90" s="30">
        <f t="shared" si="156"/>
        <v>-928510.41994944075</v>
      </c>
      <c r="Y90" s="30">
        <f t="shared" si="156"/>
        <v>-475991.07882945798</v>
      </c>
      <c r="Z90" s="30">
        <f t="shared" si="156"/>
        <v>-36093.233879840001</v>
      </c>
      <c r="AA90" s="30">
        <f t="shared" si="156"/>
        <v>-6887.3667659219354</v>
      </c>
      <c r="AB90" s="30">
        <f t="shared" si="156"/>
        <v>-311496.40145694371</v>
      </c>
      <c r="AC90" s="30">
        <f t="shared" si="156"/>
        <v>-703146.67470314354</v>
      </c>
      <c r="AD90" s="30">
        <f t="shared" si="156"/>
        <v>-1062297.3254489568</v>
      </c>
      <c r="AE90" s="30">
        <f t="shared" si="156"/>
        <v>-1163376.1952959402</v>
      </c>
      <c r="AF90" s="30">
        <f t="shared" si="156"/>
        <v>-1306106.4960215879</v>
      </c>
      <c r="AG90" s="169">
        <f>SUM(U90:AF90)</f>
        <v>-9811955.644475989</v>
      </c>
      <c r="AH90" s="43"/>
      <c r="AI90" s="43"/>
      <c r="AJ90" s="2" t="s">
        <v>213</v>
      </c>
      <c r="AK90" s="30">
        <f>AK88-AK58</f>
        <v>-1394453.0388649902</v>
      </c>
      <c r="AL90" s="30">
        <f t="shared" ref="AL90:AV90" si="157">AL88-AL58</f>
        <v>-1421233.5292539708</v>
      </c>
      <c r="AM90" s="30">
        <f t="shared" si="157"/>
        <v>-1270380.3914254294</v>
      </c>
      <c r="AN90" s="30">
        <f t="shared" si="157"/>
        <v>-1134648.5512874331</v>
      </c>
      <c r="AO90" s="30">
        <f t="shared" si="157"/>
        <v>-985177.10460789874</v>
      </c>
      <c r="AP90" s="30">
        <f t="shared" si="157"/>
        <v>-582984.71392527036</v>
      </c>
      <c r="AQ90" s="30">
        <f t="shared" si="157"/>
        <v>-596322.29937784746</v>
      </c>
      <c r="AR90" s="30">
        <f t="shared" si="157"/>
        <v>-752487.79913540278</v>
      </c>
      <c r="AS90" s="30">
        <f t="shared" si="157"/>
        <v>-1068785.3940494601</v>
      </c>
      <c r="AT90" s="30">
        <f t="shared" si="157"/>
        <v>-1208689.0778119131</v>
      </c>
      <c r="AU90" s="30">
        <f t="shared" si="157"/>
        <v>-1398228.827750264</v>
      </c>
      <c r="AV90" s="30">
        <f t="shared" si="157"/>
        <v>-1474216.922065455</v>
      </c>
      <c r="AW90" s="169">
        <f>SUM(AK90:AV90)</f>
        <v>-13287607.649555337</v>
      </c>
    </row>
    <row r="91" spans="1:50">
      <c r="B91" s="390">
        <f>+'[2]YR REPORTS'!$O$90</f>
        <v>8358228.9481306747</v>
      </c>
      <c r="C91" s="191" t="s">
        <v>78</v>
      </c>
      <c r="D91" s="198">
        <f>B91+B57+D90</f>
        <v>7341673.7705199048</v>
      </c>
      <c r="E91" s="198">
        <f t="shared" ref="E91:O91" si="158">D91+E90</f>
        <v>6390492.0653368635</v>
      </c>
      <c r="F91" s="198">
        <f t="shared" si="158"/>
        <v>5805099.3841580367</v>
      </c>
      <c r="G91" s="198">
        <f t="shared" si="158"/>
        <v>5297281.068763528</v>
      </c>
      <c r="H91" s="198">
        <f t="shared" si="158"/>
        <v>6658585.0448089037</v>
      </c>
      <c r="I91" s="198">
        <f t="shared" si="158"/>
        <v>7961510.6067889268</v>
      </c>
      <c r="J91" s="198">
        <f t="shared" si="158"/>
        <v>8991417.7416036278</v>
      </c>
      <c r="K91" s="198">
        <f t="shared" si="158"/>
        <v>10549824.566787086</v>
      </c>
      <c r="L91" s="198">
        <f t="shared" si="158"/>
        <v>9731464.0411363747</v>
      </c>
      <c r="M91" s="198">
        <f t="shared" si="158"/>
        <v>8903105.542309355</v>
      </c>
      <c r="N91" s="198">
        <f t="shared" si="158"/>
        <v>8474836.8790133074</v>
      </c>
      <c r="O91" s="172">
        <f t="shared" si="158"/>
        <v>7661592.8110393994</v>
      </c>
      <c r="P91" s="169">
        <f>O91-'[4]YR REPORTS'!$O$91</f>
        <v>-15259.38605235517</v>
      </c>
      <c r="Q91" s="171"/>
      <c r="R91" s="171"/>
      <c r="S91" s="171"/>
      <c r="T91" s="191" t="s">
        <v>78</v>
      </c>
      <c r="U91" s="198">
        <f>O91+U90</f>
        <v>6400728.5113313869</v>
      </c>
      <c r="V91" s="198">
        <f t="shared" ref="V91:AF91" si="159">U91+V90</f>
        <v>5051560.8914948218</v>
      </c>
      <c r="W91" s="198">
        <f t="shared" si="159"/>
        <v>3843542.3589146417</v>
      </c>
      <c r="X91" s="198">
        <f t="shared" si="159"/>
        <v>2915031.9389652009</v>
      </c>
      <c r="Y91" s="198">
        <f t="shared" si="159"/>
        <v>2439040.8601357429</v>
      </c>
      <c r="Z91" s="198">
        <f t="shared" si="159"/>
        <v>2402947.6262559029</v>
      </c>
      <c r="AA91" s="198">
        <f t="shared" si="159"/>
        <v>2396060.259489981</v>
      </c>
      <c r="AB91" s="198">
        <f t="shared" si="159"/>
        <v>2084563.8580330373</v>
      </c>
      <c r="AC91" s="198">
        <f t="shared" si="159"/>
        <v>1381417.1833298937</v>
      </c>
      <c r="AD91" s="198">
        <f t="shared" si="159"/>
        <v>319119.85788093694</v>
      </c>
      <c r="AE91" s="198">
        <f t="shared" si="159"/>
        <v>-844256.33741500322</v>
      </c>
      <c r="AF91" s="172">
        <f t="shared" si="159"/>
        <v>-2150362.8334365911</v>
      </c>
      <c r="AG91" s="34">
        <f>AG90/AG12</f>
        <v>-0.92142909344527657</v>
      </c>
      <c r="AH91" s="171"/>
      <c r="AI91" s="171"/>
      <c r="AJ91" s="191" t="s">
        <v>78</v>
      </c>
      <c r="AK91" s="198">
        <f>AF91+AK90</f>
        <v>-3544815.8723015813</v>
      </c>
      <c r="AL91" s="198">
        <f t="shared" ref="AL91:AV91" si="160">AK91+AL90</f>
        <v>-4966049.4015555521</v>
      </c>
      <c r="AM91" s="198">
        <f t="shared" si="160"/>
        <v>-6236429.792980982</v>
      </c>
      <c r="AN91" s="198">
        <f t="shared" si="160"/>
        <v>-7371078.3442684151</v>
      </c>
      <c r="AO91" s="198">
        <f t="shared" si="160"/>
        <v>-8356255.4488763139</v>
      </c>
      <c r="AP91" s="198">
        <f t="shared" si="160"/>
        <v>-8939240.1628015842</v>
      </c>
      <c r="AQ91" s="198">
        <f t="shared" si="160"/>
        <v>-9535562.4621794317</v>
      </c>
      <c r="AR91" s="198">
        <f t="shared" si="160"/>
        <v>-10288050.261314835</v>
      </c>
      <c r="AS91" s="198">
        <f t="shared" si="160"/>
        <v>-11356835.655364295</v>
      </c>
      <c r="AT91" s="198">
        <f t="shared" si="160"/>
        <v>-12565524.733176209</v>
      </c>
      <c r="AU91" s="198">
        <f t="shared" si="160"/>
        <v>-13963753.560926473</v>
      </c>
      <c r="AV91" s="172">
        <f t="shared" si="160"/>
        <v>-15437970.482991928</v>
      </c>
      <c r="AW91" s="171"/>
    </row>
    <row r="92" spans="1:50" s="144" customFormat="1">
      <c r="A92" s="171"/>
      <c r="B92" s="171"/>
      <c r="C92" s="241" t="s">
        <v>367</v>
      </c>
      <c r="D92" s="129">
        <f>D91/$P$54</f>
        <v>0.13868595925770869</v>
      </c>
      <c r="E92" s="129">
        <f t="shared" ref="E92:O92" si="161">E91/$P$54</f>
        <v>0.1207179111892433</v>
      </c>
      <c r="F92" s="129">
        <f t="shared" si="161"/>
        <v>0.10965970456370178</v>
      </c>
      <c r="G92" s="129">
        <f t="shared" si="161"/>
        <v>0.10006689611150414</v>
      </c>
      <c r="H92" s="129">
        <f t="shared" si="161"/>
        <v>0.12578225117362593</v>
      </c>
      <c r="I92" s="129">
        <f t="shared" si="161"/>
        <v>0.15039482414440675</v>
      </c>
      <c r="J92" s="129">
        <f t="shared" si="161"/>
        <v>0.16985001425536972</v>
      </c>
      <c r="K92" s="129">
        <f t="shared" si="161"/>
        <v>0.19928868889822612</v>
      </c>
      <c r="L92" s="129">
        <f t="shared" si="161"/>
        <v>0.18382966442151277</v>
      </c>
      <c r="M92" s="129">
        <f t="shared" si="161"/>
        <v>0.1681817758595881</v>
      </c>
      <c r="N92" s="129">
        <f t="shared" si="161"/>
        <v>0.16009167920782377</v>
      </c>
      <c r="O92" s="129">
        <f t="shared" si="161"/>
        <v>0.14472930583044941</v>
      </c>
      <c r="P92" s="242"/>
      <c r="Q92" s="129"/>
      <c r="R92" s="129"/>
      <c r="S92" s="129"/>
      <c r="T92" s="241" t="s">
        <v>367</v>
      </c>
      <c r="U92" s="129">
        <f>U91/$AG$54</f>
        <v>0.10617674371219338</v>
      </c>
      <c r="V92" s="129">
        <f t="shared" ref="V92:AF92" si="162">V91/$AG$54</f>
        <v>8.3796443666256881E-2</v>
      </c>
      <c r="W92" s="129">
        <f t="shared" si="162"/>
        <v>6.3757556857313602E-2</v>
      </c>
      <c r="X92" s="129">
        <f t="shared" si="162"/>
        <v>4.8355214339810638E-2</v>
      </c>
      <c r="Y92" s="129">
        <f t="shared" si="162"/>
        <v>4.0459365813085145E-2</v>
      </c>
      <c r="Z92" s="129">
        <f t="shared" si="162"/>
        <v>3.9860643021356099E-2</v>
      </c>
      <c r="AA92" s="129">
        <f t="shared" si="162"/>
        <v>3.9746393811338432E-2</v>
      </c>
      <c r="AB92" s="129">
        <f t="shared" si="162"/>
        <v>3.4579220492518055E-2</v>
      </c>
      <c r="AC92" s="129">
        <f t="shared" si="162"/>
        <v>2.2915263157057275E-2</v>
      </c>
      <c r="AD92" s="129">
        <f t="shared" si="162"/>
        <v>5.2936329518915876E-3</v>
      </c>
      <c r="AE92" s="129">
        <f t="shared" si="162"/>
        <v>-1.4004716589121847E-2</v>
      </c>
      <c r="AF92" s="129">
        <f t="shared" si="162"/>
        <v>-3.5670708896623923E-2</v>
      </c>
      <c r="AG92" s="171"/>
      <c r="AH92" s="129"/>
      <c r="AI92" s="129"/>
      <c r="AJ92" s="241" t="s">
        <v>367</v>
      </c>
      <c r="AK92" s="129">
        <f>AK91/$AW$54</f>
        <v>-5.494706646213391E-2</v>
      </c>
      <c r="AL92" s="129">
        <f t="shared" ref="AL92:AV92" si="163">AL91/$AW$54</f>
        <v>-7.697715660033537E-2</v>
      </c>
      <c r="AM92" s="129">
        <f t="shared" si="163"/>
        <v>-9.6668920097919414E-2</v>
      </c>
      <c r="AN92" s="129">
        <f t="shared" si="163"/>
        <v>-0.11425674739408719</v>
      </c>
      <c r="AO92" s="129">
        <f t="shared" si="163"/>
        <v>-0.12952766520588191</v>
      </c>
      <c r="AP92" s="129">
        <f t="shared" si="163"/>
        <v>-0.13856432634045907</v>
      </c>
      <c r="AQ92" s="129">
        <f t="shared" si="163"/>
        <v>-0.14780772915660947</v>
      </c>
      <c r="AR92" s="129">
        <f t="shared" si="163"/>
        <v>-0.15947180385061949</v>
      </c>
      <c r="AS92" s="129">
        <f t="shared" si="163"/>
        <v>-0.17603870723746975</v>
      </c>
      <c r="AT92" s="129">
        <f t="shared" si="163"/>
        <v>-0.19477421325049868</v>
      </c>
      <c r="AU92" s="129">
        <f t="shared" si="163"/>
        <v>-0.21644771480751523</v>
      </c>
      <c r="AV92" s="129">
        <f t="shared" si="163"/>
        <v>-0.23929908371197084</v>
      </c>
      <c r="AW92" s="171"/>
      <c r="AX92" s="175"/>
    </row>
    <row r="93" spans="1:50">
      <c r="C93" s="170" t="s">
        <v>456</v>
      </c>
      <c r="E93" s="175">
        <f>E92-D92</f>
        <v>-1.7968048068465386E-2</v>
      </c>
      <c r="F93" s="175">
        <f>F92-E92</f>
        <v>-1.1058206625541522E-2</v>
      </c>
      <c r="G93" s="175">
        <f t="shared" ref="G93:O93" si="164">G92-F92</f>
        <v>-9.5928084521976348E-3</v>
      </c>
      <c r="H93" s="175">
        <f t="shared" si="164"/>
        <v>2.5715355062121789E-2</v>
      </c>
      <c r="I93" s="175">
        <f t="shared" si="164"/>
        <v>2.4612572970780816E-2</v>
      </c>
      <c r="J93" s="175">
        <f t="shared" si="164"/>
        <v>1.9455190110962972E-2</v>
      </c>
      <c r="K93" s="175">
        <f t="shared" si="164"/>
        <v>2.9438674642856405E-2</v>
      </c>
      <c r="L93" s="175">
        <f t="shared" si="164"/>
        <v>-1.5459024476713351E-2</v>
      </c>
      <c r="M93" s="175">
        <f t="shared" si="164"/>
        <v>-1.5647888561924672E-2</v>
      </c>
      <c r="N93" s="175">
        <f t="shared" si="164"/>
        <v>-8.090096651764328E-3</v>
      </c>
      <c r="O93" s="175">
        <f t="shared" si="164"/>
        <v>-1.5362373377374366E-2</v>
      </c>
      <c r="T93" s="170" t="s">
        <v>456</v>
      </c>
      <c r="U93" s="175">
        <f>U92-O92</f>
        <v>-3.8552562118256029E-2</v>
      </c>
      <c r="V93" s="175">
        <f>V92-U92</f>
        <v>-2.2380300045936496E-2</v>
      </c>
      <c r="W93" s="175">
        <f t="shared" ref="W93:AF93" si="165">W92-V92</f>
        <v>-2.0038886808943279E-2</v>
      </c>
      <c r="X93" s="175">
        <f t="shared" si="165"/>
        <v>-1.5402342517502964E-2</v>
      </c>
      <c r="Y93" s="175">
        <f t="shared" si="165"/>
        <v>-7.8958485267254935E-3</v>
      </c>
      <c r="Z93" s="175">
        <f t="shared" si="165"/>
        <v>-5.9872279172904636E-4</v>
      </c>
      <c r="AA93" s="175">
        <f t="shared" si="165"/>
        <v>-1.1424921001766675E-4</v>
      </c>
      <c r="AB93" s="175">
        <f t="shared" si="165"/>
        <v>-5.1671733188203769E-3</v>
      </c>
      <c r="AC93" s="175">
        <f t="shared" si="165"/>
        <v>-1.166395733546078E-2</v>
      </c>
      <c r="AD93" s="175">
        <f t="shared" si="165"/>
        <v>-1.7621630205165689E-2</v>
      </c>
      <c r="AE93" s="175">
        <f t="shared" si="165"/>
        <v>-1.9298349541013435E-2</v>
      </c>
      <c r="AF93" s="175">
        <f t="shared" si="165"/>
        <v>-2.1665992307502074E-2</v>
      </c>
      <c r="AJ93" s="170" t="s">
        <v>456</v>
      </c>
      <c r="AK93" s="175">
        <f>AK92-AF92</f>
        <v>-1.9276357565509987E-2</v>
      </c>
      <c r="AL93" s="175">
        <f>AL92-AK92</f>
        <v>-2.2030090138201459E-2</v>
      </c>
      <c r="AM93" s="175">
        <f t="shared" ref="AM93:AV93" si="166">AM92-AL92</f>
        <v>-1.9691763497584044E-2</v>
      </c>
      <c r="AN93" s="175">
        <f t="shared" si="166"/>
        <v>-1.7587827296167771E-2</v>
      </c>
      <c r="AO93" s="175">
        <f t="shared" si="166"/>
        <v>-1.5270917811794724E-2</v>
      </c>
      <c r="AP93" s="175">
        <f t="shared" si="166"/>
        <v>-9.0366611345771564E-3</v>
      </c>
      <c r="AQ93" s="175">
        <f t="shared" si="166"/>
        <v>-9.2434028161504089E-3</v>
      </c>
      <c r="AR93" s="175">
        <f t="shared" si="166"/>
        <v>-1.1664074694010013E-2</v>
      </c>
      <c r="AS93" s="175">
        <f t="shared" si="166"/>
        <v>-1.6566903386850268E-2</v>
      </c>
      <c r="AT93" s="175">
        <f t="shared" si="166"/>
        <v>-1.8735506013028924E-2</v>
      </c>
      <c r="AU93" s="175">
        <f t="shared" si="166"/>
        <v>-2.1673501557016556E-2</v>
      </c>
      <c r="AV93" s="175">
        <f t="shared" si="166"/>
        <v>-2.2851368904455605E-2</v>
      </c>
    </row>
    <row r="94" spans="1:50">
      <c r="C94" s="170"/>
      <c r="E94" s="175"/>
      <c r="F94" s="175"/>
      <c r="G94" s="175"/>
      <c r="H94" s="175"/>
      <c r="I94" s="175"/>
      <c r="J94" s="175"/>
      <c r="K94" s="175"/>
      <c r="L94" s="175"/>
      <c r="M94" s="175"/>
      <c r="N94" s="175"/>
      <c r="O94" s="175"/>
      <c r="T94" s="170"/>
      <c r="U94" s="175"/>
      <c r="V94" s="175"/>
      <c r="W94" s="175"/>
      <c r="X94" s="175"/>
      <c r="Y94" s="175"/>
      <c r="Z94" s="175"/>
      <c r="AA94" s="175"/>
      <c r="AB94" s="175"/>
      <c r="AC94" s="175"/>
      <c r="AD94" s="175"/>
      <c r="AE94" s="175"/>
      <c r="AF94" s="175"/>
      <c r="AJ94" s="170"/>
      <c r="AK94" s="175"/>
      <c r="AL94" s="175"/>
      <c r="AM94" s="175"/>
      <c r="AN94" s="175"/>
      <c r="AO94" s="175"/>
      <c r="AP94" s="175"/>
      <c r="AQ94" s="175"/>
      <c r="AR94" s="175"/>
      <c r="AS94" s="175"/>
      <c r="AT94" s="175"/>
      <c r="AU94" s="175"/>
      <c r="AV94" s="175"/>
    </row>
    <row r="95" spans="1:50">
      <c r="C95" s="170"/>
      <c r="E95" s="175"/>
      <c r="F95" s="175"/>
      <c r="G95" s="175"/>
      <c r="H95" s="175"/>
      <c r="I95" s="175"/>
      <c r="J95" s="175"/>
      <c r="K95" s="175"/>
      <c r="L95" s="175"/>
      <c r="M95" s="175"/>
      <c r="N95" s="175"/>
      <c r="O95" s="175"/>
      <c r="T95" s="170"/>
      <c r="U95" s="175"/>
      <c r="V95" s="175"/>
      <c r="W95" s="175"/>
      <c r="X95" s="175"/>
      <c r="Y95" s="175"/>
      <c r="Z95" s="175"/>
      <c r="AA95" s="175"/>
      <c r="AB95" s="175"/>
      <c r="AC95" s="175"/>
      <c r="AD95" s="175"/>
      <c r="AE95" s="175"/>
      <c r="AF95" s="175"/>
      <c r="AJ95" s="170"/>
      <c r="AK95" s="175"/>
      <c r="AL95" s="175"/>
      <c r="AM95" s="175"/>
      <c r="AN95" s="175"/>
      <c r="AO95" s="175"/>
      <c r="AP95" s="175"/>
      <c r="AQ95" s="175"/>
      <c r="AR95" s="175"/>
      <c r="AS95" s="175"/>
      <c r="AT95" s="175"/>
      <c r="AU95" s="175"/>
      <c r="AV95" s="175"/>
    </row>
    <row r="96" spans="1:50">
      <c r="C96" s="170"/>
      <c r="E96" s="175"/>
      <c r="F96" s="175"/>
      <c r="G96" s="175"/>
      <c r="H96" s="175"/>
      <c r="I96" s="175"/>
      <c r="J96" s="175"/>
      <c r="K96" s="175"/>
      <c r="L96" s="175"/>
      <c r="M96" s="175"/>
      <c r="N96" s="175"/>
      <c r="O96" s="175"/>
      <c r="T96" s="170"/>
      <c r="U96" s="175"/>
      <c r="V96" s="175"/>
      <c r="W96" s="175"/>
      <c r="X96" s="175"/>
      <c r="Y96" s="175"/>
      <c r="Z96" s="175"/>
      <c r="AA96" s="175"/>
      <c r="AB96" s="175"/>
      <c r="AC96" s="175"/>
      <c r="AD96" s="175"/>
      <c r="AE96" s="175"/>
      <c r="AF96" s="175"/>
      <c r="AJ96" s="170"/>
      <c r="AK96" s="175"/>
      <c r="AL96" s="175"/>
      <c r="AM96" s="175"/>
      <c r="AN96" s="175"/>
      <c r="AO96" s="175"/>
      <c r="AP96" s="175"/>
      <c r="AQ96" s="175"/>
      <c r="AR96" s="175"/>
      <c r="AS96" s="175"/>
      <c r="AT96" s="175"/>
      <c r="AU96" s="175"/>
      <c r="AV96" s="175"/>
    </row>
    <row r="97" spans="1:49">
      <c r="C97" s="170"/>
      <c r="E97" s="175"/>
      <c r="F97" s="175"/>
      <c r="G97" s="16"/>
      <c r="H97" s="175"/>
      <c r="I97" s="175"/>
      <c r="J97" s="175"/>
      <c r="K97" s="175"/>
      <c r="L97" s="175"/>
      <c r="M97" s="175"/>
      <c r="N97" s="175"/>
      <c r="O97" s="175"/>
      <c r="T97" s="170"/>
      <c r="U97" s="175"/>
      <c r="V97" s="175"/>
      <c r="W97" s="175"/>
      <c r="X97" s="175"/>
      <c r="Y97" s="175"/>
      <c r="Z97" s="175"/>
      <c r="AA97" s="175"/>
      <c r="AB97" s="175"/>
      <c r="AC97" s="175"/>
      <c r="AD97" s="175"/>
      <c r="AE97" s="175"/>
      <c r="AF97" s="175"/>
      <c r="AJ97" s="170"/>
      <c r="AK97" s="175"/>
      <c r="AL97" s="175"/>
      <c r="AM97" s="175"/>
      <c r="AN97" s="175"/>
      <c r="AO97" s="175"/>
      <c r="AP97" s="175"/>
      <c r="AQ97" s="175"/>
      <c r="AR97" s="175"/>
      <c r="AS97" s="175"/>
      <c r="AT97" s="175"/>
      <c r="AU97" s="175"/>
      <c r="AV97" s="175"/>
    </row>
    <row r="98" spans="1:49">
      <c r="C98" s="170"/>
      <c r="E98" s="175"/>
      <c r="F98" s="175"/>
      <c r="G98" s="16"/>
      <c r="H98" s="175"/>
      <c r="I98" s="175"/>
      <c r="J98" s="175"/>
      <c r="K98" s="175"/>
      <c r="L98" s="175"/>
      <c r="M98" s="175"/>
      <c r="N98" s="175"/>
      <c r="O98" s="175"/>
      <c r="T98" s="170"/>
      <c r="U98" s="175"/>
      <c r="V98" s="175"/>
      <c r="W98" s="175"/>
      <c r="X98" s="175"/>
      <c r="Y98" s="175"/>
      <c r="Z98" s="175"/>
      <c r="AA98" s="175"/>
      <c r="AB98" s="175"/>
      <c r="AC98" s="175"/>
      <c r="AD98" s="175"/>
      <c r="AE98" s="175"/>
      <c r="AF98" s="175"/>
      <c r="AJ98" s="170"/>
      <c r="AK98" s="175"/>
      <c r="AL98" s="175"/>
      <c r="AM98" s="175"/>
      <c r="AN98" s="175"/>
      <c r="AO98" s="175"/>
      <c r="AP98" s="175"/>
      <c r="AQ98" s="175"/>
      <c r="AR98" s="175"/>
      <c r="AS98" s="175"/>
      <c r="AT98" s="175"/>
      <c r="AU98" s="175"/>
      <c r="AV98" s="175"/>
    </row>
    <row r="99" spans="1:49">
      <c r="D99" s="32"/>
      <c r="E99" s="32"/>
      <c r="F99" s="32"/>
      <c r="G99" s="32"/>
      <c r="H99" s="32"/>
      <c r="I99" s="32"/>
      <c r="J99" s="32"/>
      <c r="AC99" s="37"/>
      <c r="AS99" s="37"/>
    </row>
    <row r="100" spans="1:49">
      <c r="A100" s="179"/>
      <c r="D100" s="30"/>
      <c r="E100" s="16"/>
      <c r="F100" s="30"/>
      <c r="G100" s="29"/>
      <c r="H100" s="30"/>
      <c r="I100" s="16"/>
      <c r="J100" s="16"/>
      <c r="K100" s="16"/>
      <c r="L100" s="17"/>
      <c r="M100" s="16"/>
      <c r="N100" s="16"/>
      <c r="O100" s="16"/>
      <c r="AC100" s="37"/>
      <c r="AS100" s="37"/>
    </row>
    <row r="101" spans="1:49">
      <c r="E101" s="16"/>
      <c r="F101" s="10"/>
      <c r="G101" s="10"/>
      <c r="H101" s="10"/>
      <c r="J101" s="10"/>
      <c r="AC101" s="37"/>
      <c r="AS101" s="37"/>
    </row>
    <row r="102" spans="1:49">
      <c r="F102" s="10"/>
      <c r="G102" s="10"/>
      <c r="H102" s="10"/>
      <c r="J102" s="10"/>
      <c r="AC102" s="37"/>
      <c r="AS102" s="37"/>
    </row>
    <row r="103" spans="1:49">
      <c r="A103" s="16"/>
      <c r="B103" s="16"/>
      <c r="C103" s="6" t="s">
        <v>243</v>
      </c>
      <c r="D103" s="16">
        <f t="shared" ref="D103:P103" si="167">D21/D14</f>
        <v>4.3361846653260558</v>
      </c>
      <c r="E103" s="16">
        <f t="shared" si="167"/>
        <v>4.3823665629291284</v>
      </c>
      <c r="F103" s="16">
        <f t="shared" si="167"/>
        <v>3.8950390650036382</v>
      </c>
      <c r="G103" s="16">
        <f t="shared" si="167"/>
        <v>4.379975948312997</v>
      </c>
      <c r="H103" s="17">
        <f t="shared" si="167"/>
        <v>3.7258131820786051</v>
      </c>
      <c r="I103" s="17">
        <f t="shared" si="167"/>
        <v>4.0390268545221781</v>
      </c>
      <c r="J103" s="17">
        <f t="shared" si="167"/>
        <v>4.3106650302979341</v>
      </c>
      <c r="K103" s="17">
        <f t="shared" si="167"/>
        <v>3.8115264680333567</v>
      </c>
      <c r="L103" s="17">
        <f t="shared" si="167"/>
        <v>3.7066537209105963</v>
      </c>
      <c r="M103" s="16">
        <f t="shared" si="167"/>
        <v>3.2248276461582077</v>
      </c>
      <c r="N103" s="16">
        <f t="shared" si="167"/>
        <v>1.9784183184393209</v>
      </c>
      <c r="O103" s="16">
        <f t="shared" si="167"/>
        <v>2.4913477895575977</v>
      </c>
      <c r="P103" s="195">
        <f t="shared" si="167"/>
        <v>3.8125280089216669</v>
      </c>
      <c r="Q103" s="16"/>
      <c r="R103" s="16"/>
      <c r="S103" s="16"/>
      <c r="T103" s="6" t="s">
        <v>243</v>
      </c>
      <c r="U103" s="16">
        <f t="shared" ref="U103:AG103" si="168">U21/U14</f>
        <v>3.4044529679805104</v>
      </c>
      <c r="V103" s="16">
        <f t="shared" si="168"/>
        <v>3.6932026611288311</v>
      </c>
      <c r="W103" s="16">
        <f t="shared" si="168"/>
        <v>3.7414472403858561</v>
      </c>
      <c r="X103" s="16">
        <f t="shared" si="168"/>
        <v>3.7779937513133381</v>
      </c>
      <c r="Y103" s="17">
        <f t="shared" si="168"/>
        <v>3.8353273444223186</v>
      </c>
      <c r="Z103" s="17">
        <f t="shared" si="168"/>
        <v>3.986711537380573</v>
      </c>
      <c r="AA103" s="17">
        <f t="shared" si="168"/>
        <v>4.0700786980086736</v>
      </c>
      <c r="AB103" s="17">
        <f t="shared" si="168"/>
        <v>4.083917755784495</v>
      </c>
      <c r="AC103" s="17">
        <f t="shared" si="168"/>
        <v>4.1434797940550068</v>
      </c>
      <c r="AD103" s="16">
        <f t="shared" si="168"/>
        <v>4.1470939807189184</v>
      </c>
      <c r="AE103" s="16">
        <f t="shared" si="168"/>
        <v>3.9144729966401117</v>
      </c>
      <c r="AF103" s="16">
        <f t="shared" si="168"/>
        <v>3.9263693970675768</v>
      </c>
      <c r="AG103" s="136">
        <f t="shared" si="168"/>
        <v>3.9681646770963912</v>
      </c>
      <c r="AH103" s="16"/>
      <c r="AI103" s="16"/>
      <c r="AJ103" s="6" t="s">
        <v>243</v>
      </c>
      <c r="AK103" s="16">
        <f t="shared" ref="AK103:AW103" si="169">AK21/AK14</f>
        <v>4.1036301393260537</v>
      </c>
      <c r="AL103" s="16">
        <f t="shared" si="169"/>
        <v>4.1281763620949103</v>
      </c>
      <c r="AM103" s="16">
        <f t="shared" si="169"/>
        <v>4.137230004572352</v>
      </c>
      <c r="AN103" s="16">
        <f t="shared" si="169"/>
        <v>4.1921547606108582</v>
      </c>
      <c r="AO103" s="17">
        <f t="shared" si="169"/>
        <v>4.3301510547294511</v>
      </c>
      <c r="AP103" s="17">
        <f t="shared" si="169"/>
        <v>4.3634466857532219</v>
      </c>
      <c r="AQ103" s="17">
        <f t="shared" si="169"/>
        <v>4.4344782527393614</v>
      </c>
      <c r="AR103" s="17">
        <f t="shared" si="169"/>
        <v>4.4199149699035116</v>
      </c>
      <c r="AS103" s="17">
        <f t="shared" si="169"/>
        <v>4.479476723034943</v>
      </c>
      <c r="AT103" s="16">
        <f t="shared" si="169"/>
        <v>4.4070403744001529</v>
      </c>
      <c r="AU103" s="16">
        <f t="shared" si="169"/>
        <v>4.417399275073457</v>
      </c>
      <c r="AV103" s="16">
        <f t="shared" si="169"/>
        <v>4.4338378015732207</v>
      </c>
      <c r="AW103" s="136">
        <f t="shared" si="169"/>
        <v>4.3630106318133857</v>
      </c>
    </row>
    <row r="104" spans="1:49">
      <c r="A104" s="16"/>
      <c r="B104" s="16"/>
      <c r="C104" s="6" t="s">
        <v>375</v>
      </c>
      <c r="D104" s="16">
        <f t="shared" ref="D104:P104" si="170">+D68</f>
        <v>4.919790575916231</v>
      </c>
      <c r="E104" s="16">
        <f t="shared" si="170"/>
        <v>4.8784642233856905</v>
      </c>
      <c r="F104" s="16">
        <f t="shared" si="170"/>
        <v>4.3613263525305417</v>
      </c>
      <c r="G104" s="16">
        <f t="shared" si="170"/>
        <v>4.2518673647469463</v>
      </c>
      <c r="H104" s="16">
        <f t="shared" si="170"/>
        <v>3.9893891797556722</v>
      </c>
      <c r="I104" s="16">
        <f t="shared" si="170"/>
        <v>3.8106806282722512</v>
      </c>
      <c r="J104" s="16">
        <f t="shared" si="170"/>
        <v>3.4979406631762653</v>
      </c>
      <c r="K104" s="16">
        <f t="shared" si="170"/>
        <v>3.0444677137870855</v>
      </c>
      <c r="L104" s="17">
        <f t="shared" si="170"/>
        <v>2.7853403141361261</v>
      </c>
      <c r="M104" s="16">
        <f t="shared" si="170"/>
        <v>2.5005235602094236</v>
      </c>
      <c r="N104" s="16">
        <f t="shared" si="170"/>
        <v>2.3273996509598605</v>
      </c>
      <c r="O104" s="16">
        <f t="shared" si="170"/>
        <v>2.7663525305410119</v>
      </c>
      <c r="P104" s="34">
        <f t="shared" si="170"/>
        <v>3.5224557665270071</v>
      </c>
      <c r="Q104" s="16"/>
      <c r="R104" s="16"/>
      <c r="S104" s="16"/>
      <c r="T104" s="6" t="s">
        <v>244</v>
      </c>
      <c r="U104" s="16">
        <f t="shared" ref="U104:AG104" si="171">+U68</f>
        <v>3.1516928446771382</v>
      </c>
      <c r="V104" s="16">
        <f t="shared" si="171"/>
        <v>3.4945898778359514</v>
      </c>
      <c r="W104" s="16">
        <f t="shared" si="171"/>
        <v>3.4890052356020944</v>
      </c>
      <c r="X104" s="16">
        <f t="shared" si="171"/>
        <v>3.4968237347294941</v>
      </c>
      <c r="Y104" s="16">
        <f t="shared" si="171"/>
        <v>3.6487260034904012</v>
      </c>
      <c r="Z104" s="16">
        <f t="shared" si="171"/>
        <v>3.9078534031413614</v>
      </c>
      <c r="AA104" s="16">
        <f t="shared" si="171"/>
        <v>4.0530541012216403</v>
      </c>
      <c r="AB104" s="16">
        <f t="shared" si="171"/>
        <v>4.0597556719022698</v>
      </c>
      <c r="AC104" s="17">
        <f t="shared" si="171"/>
        <v>4.0128446771378705</v>
      </c>
      <c r="AD104" s="16">
        <f t="shared" si="171"/>
        <v>3.9704013961605589</v>
      </c>
      <c r="AE104" s="16">
        <f t="shared" si="171"/>
        <v>3.9905061082024433</v>
      </c>
      <c r="AF104" s="16">
        <f t="shared" si="171"/>
        <v>4.0295986038394416</v>
      </c>
      <c r="AG104" s="16">
        <f t="shared" si="171"/>
        <v>3.813120164524233</v>
      </c>
      <c r="AH104" s="16"/>
      <c r="AI104" s="16"/>
      <c r="AJ104" s="6" t="s">
        <v>244</v>
      </c>
      <c r="AK104" s="16">
        <f t="shared" ref="AK104:AW104" si="172">+AK68</f>
        <v>4.0787434554973823</v>
      </c>
      <c r="AL104" s="16">
        <f t="shared" si="172"/>
        <v>4.1044328097731242</v>
      </c>
      <c r="AM104" s="16">
        <f t="shared" si="172"/>
        <v>4.1100174520069812</v>
      </c>
      <c r="AN104" s="16">
        <f t="shared" si="172"/>
        <v>4.1479930191972079</v>
      </c>
      <c r="AO104" s="16">
        <f t="shared" si="172"/>
        <v>4.2753228621291459</v>
      </c>
      <c r="AP104" s="16">
        <f t="shared" si="172"/>
        <v>4.505410122164049</v>
      </c>
      <c r="AQ104" s="16">
        <f t="shared" si="172"/>
        <v>4.630506108202443</v>
      </c>
      <c r="AR104" s="16">
        <f t="shared" si="172"/>
        <v>4.6070506108202443</v>
      </c>
      <c r="AS104" s="17">
        <f t="shared" si="172"/>
        <v>4.5277486910994762</v>
      </c>
      <c r="AT104" s="16">
        <f t="shared" si="172"/>
        <v>4.3579755671902278</v>
      </c>
      <c r="AU104" s="16">
        <f t="shared" si="172"/>
        <v>4.3769633507853403</v>
      </c>
      <c r="AV104" s="16">
        <f t="shared" si="172"/>
        <v>4.4048865619546245</v>
      </c>
      <c r="AW104" s="16">
        <f t="shared" si="172"/>
        <v>4.377912260159853</v>
      </c>
    </row>
    <row r="105" spans="1:49">
      <c r="A105" s="10" t="s">
        <v>158</v>
      </c>
      <c r="C105" s="4" t="s">
        <v>377</v>
      </c>
      <c r="D105" s="16">
        <f>+'FT GAS'!G117</f>
        <v>4.2911932614863444</v>
      </c>
      <c r="E105" s="16">
        <f>+'FT GAS'!H117</f>
        <v>4.2486850657612028</v>
      </c>
      <c r="F105" s="16">
        <f>+'FT GAS'!I117</f>
        <v>3.8483803737312967</v>
      </c>
      <c r="G105" s="16">
        <f>+'FT GAS'!J117</f>
        <v>3.7961076836130903</v>
      </c>
      <c r="H105" s="16">
        <f>+'FT GAS'!K117</f>
        <v>3.5658413479590974</v>
      </c>
      <c r="I105" s="16">
        <f>+'FT GAS'!L117</f>
        <v>3.4336290967466763</v>
      </c>
      <c r="J105" s="16">
        <f>+'FT GAS'!M117</f>
        <v>3.2432037496774391</v>
      </c>
      <c r="K105" s="16">
        <f>+'FT GAS'!N117</f>
        <v>2.970861113437929</v>
      </c>
      <c r="L105" s="17">
        <f>+'FT GAS'!O117</f>
        <v>2.8666089358989519</v>
      </c>
      <c r="M105" s="16">
        <f>+'FT GAS'!P117</f>
        <v>2.3857770257522146</v>
      </c>
      <c r="N105" s="16">
        <f>+'FT GAS'!Q117</f>
        <v>2.1651814882009792</v>
      </c>
      <c r="O105" s="16">
        <f>+'FT GAS'!R117</f>
        <v>2.4758476245408301</v>
      </c>
      <c r="P105" s="34">
        <f>+'FT GAS'!S117</f>
        <v>3.2447489947817885</v>
      </c>
      <c r="R105" s="11" t="s">
        <v>158</v>
      </c>
      <c r="T105" s="4" t="s">
        <v>238</v>
      </c>
      <c r="U105" s="16">
        <f>+'FT GAS'!X117</f>
        <v>2.9892577861783929</v>
      </c>
      <c r="V105" s="16">
        <f>+'FT GAS'!Y117</f>
        <v>3.2440822721337863</v>
      </c>
      <c r="W105" s="16">
        <f>+'FT GAS'!Z117</f>
        <v>3.2846288069607645</v>
      </c>
      <c r="X105" s="16">
        <f>+'FT GAS'!AA117</f>
        <v>3.3032752753814951</v>
      </c>
      <c r="Y105" s="16">
        <f>+'FT GAS'!AB117</f>
        <v>3.3478222599699174</v>
      </c>
      <c r="Z105" s="16">
        <f>+'FT GAS'!AC117</f>
        <v>3.5837455895852415</v>
      </c>
      <c r="AA105" s="16">
        <f>+'FT GAS'!AD117</f>
        <v>3.7059385731649161</v>
      </c>
      <c r="AB105" s="16">
        <f>+'FT GAS'!AE117</f>
        <v>3.724230827295854</v>
      </c>
      <c r="AC105" s="16">
        <f>+'FT GAS'!AF117</f>
        <v>3.6948327150592175</v>
      </c>
      <c r="AD105" s="16">
        <f>+'FT GAS'!AG117</f>
        <v>3.6263433802357543</v>
      </c>
      <c r="AE105" s="16">
        <f>+'FT GAS'!AH117</f>
        <v>3.4295192008728161</v>
      </c>
      <c r="AF105" s="16">
        <f>+'FT GAS'!AI117</f>
        <v>3.4497212045698173</v>
      </c>
      <c r="AG105" s="16">
        <f>+'FT GAS'!AJ117</f>
        <v>3.4750669496557531</v>
      </c>
      <c r="AH105" s="97" t="s">
        <v>158</v>
      </c>
      <c r="AI105" s="97"/>
      <c r="AJ105" s="4" t="s">
        <v>238</v>
      </c>
      <c r="AK105" s="16">
        <f>+'FT GAS'!AO117</f>
        <v>3.6040000000000001</v>
      </c>
      <c r="AL105" s="16">
        <f>+'FT GAS'!AP117</f>
        <v>3.6269999999999998</v>
      </c>
      <c r="AM105" s="16">
        <f>+'FT GAS'!AQ117</f>
        <v>3.6320000000000001</v>
      </c>
      <c r="AN105" s="16">
        <f>+'FT GAS'!AR117</f>
        <v>3.6659999999999999</v>
      </c>
      <c r="AO105" s="16">
        <f>+'FT GAS'!AS117</f>
        <v>3.78</v>
      </c>
      <c r="AP105" s="16">
        <f>+'FT GAS'!AT117</f>
        <v>3.9860000000000007</v>
      </c>
      <c r="AQ105" s="16">
        <f>+'FT GAS'!AU117</f>
        <v>4.0979999999999999</v>
      </c>
      <c r="AR105" s="16">
        <f>+'FT GAS'!AV117</f>
        <v>4.077</v>
      </c>
      <c r="AS105" s="16">
        <f>+'FT GAS'!AW117</f>
        <v>4.0060000000000002</v>
      </c>
      <c r="AT105" s="16">
        <f>+'FT GAS'!AX117</f>
        <v>3.8540000000000001</v>
      </c>
      <c r="AU105" s="16">
        <f>+'FT GAS'!AY117</f>
        <v>3.8710000000000004</v>
      </c>
      <c r="AV105" s="16">
        <f>+'FT GAS'!AZ117</f>
        <v>3.8959999999999995</v>
      </c>
      <c r="AW105" s="16">
        <f>+'FT GAS'!BA117</f>
        <v>3.8617863225913585</v>
      </c>
    </row>
    <row r="106" spans="1:49">
      <c r="A106" s="175">
        <v>5.5E-2</v>
      </c>
      <c r="B106" s="16">
        <v>0.05</v>
      </c>
      <c r="C106" s="4" t="s">
        <v>378</v>
      </c>
      <c r="D106" s="16">
        <f>D105/(1-$A$106)+$B$106</f>
        <v>4.5909452502501003</v>
      </c>
      <c r="E106" s="16">
        <f t="shared" ref="E106:P106" si="173">E105/(1-$A$106)+$B$106</f>
        <v>4.545963032551537</v>
      </c>
      <c r="F106" s="16">
        <f t="shared" si="173"/>
        <v>4.122360183842642</v>
      </c>
      <c r="G106" s="16">
        <f t="shared" si="173"/>
        <v>4.0670451678445403</v>
      </c>
      <c r="H106" s="16">
        <f t="shared" si="173"/>
        <v>3.8233770877874047</v>
      </c>
      <c r="I106" s="16">
        <f t="shared" si="173"/>
        <v>3.6834699436472764</v>
      </c>
      <c r="J106" s="16">
        <f t="shared" si="173"/>
        <v>3.4819616398703057</v>
      </c>
      <c r="K106" s="16">
        <f t="shared" si="173"/>
        <v>3.1937683740083904</v>
      </c>
      <c r="L106" s="16">
        <f t="shared" si="173"/>
        <v>3.0834486094168803</v>
      </c>
      <c r="M106" s="16">
        <f t="shared" si="173"/>
        <v>2.5746317732827668</v>
      </c>
      <c r="N106" s="16">
        <f t="shared" si="173"/>
        <v>2.3411973420116183</v>
      </c>
      <c r="O106" s="16">
        <f t="shared" si="173"/>
        <v>2.6699445762336826</v>
      </c>
      <c r="P106" s="34">
        <f t="shared" si="173"/>
        <v>3.4835968198749083</v>
      </c>
      <c r="Q106" s="175"/>
      <c r="R106" s="171">
        <v>5.5E-2</v>
      </c>
      <c r="S106" s="16">
        <v>0.05</v>
      </c>
      <c r="T106" s="4" t="s">
        <v>239</v>
      </c>
      <c r="U106" s="16">
        <f t="shared" ref="U106:AG106" si="174">U105/(1-$R$106)+$S$106</f>
        <v>3.2132357525697279</v>
      </c>
      <c r="V106" s="16">
        <f t="shared" si="174"/>
        <v>3.4828912932632661</v>
      </c>
      <c r="W106" s="16">
        <f t="shared" si="174"/>
        <v>3.5257976793235604</v>
      </c>
      <c r="X106" s="16">
        <f t="shared" si="174"/>
        <v>3.5455293919380901</v>
      </c>
      <c r="Y106" s="16">
        <f t="shared" si="174"/>
        <v>3.5926690581692249</v>
      </c>
      <c r="Z106" s="16">
        <f t="shared" si="174"/>
        <v>3.8423233752224779</v>
      </c>
      <c r="AA106" s="16">
        <f t="shared" si="174"/>
        <v>3.9716281197512342</v>
      </c>
      <c r="AB106" s="16">
        <f t="shared" si="174"/>
        <v>3.9909850024294751</v>
      </c>
      <c r="AC106" s="16">
        <f t="shared" si="174"/>
        <v>3.9598758889515531</v>
      </c>
      <c r="AD106" s="16">
        <f t="shared" si="174"/>
        <v>3.8874004023658775</v>
      </c>
      <c r="AE106" s="16">
        <f t="shared" si="174"/>
        <v>3.6791208474844614</v>
      </c>
      <c r="AF106" s="16">
        <f t="shared" si="174"/>
        <v>3.70049862917441</v>
      </c>
      <c r="AG106" s="16">
        <f t="shared" si="174"/>
        <v>3.7273195234452414</v>
      </c>
      <c r="AH106" s="173">
        <v>5.5E-2</v>
      </c>
      <c r="AI106" s="98">
        <v>0.05</v>
      </c>
      <c r="AJ106" s="4" t="s">
        <v>239</v>
      </c>
      <c r="AK106" s="16">
        <f t="shared" ref="AK106:AW106" si="175">AK105/(1-$R$106)+$S$106</f>
        <v>3.8637566137566139</v>
      </c>
      <c r="AL106" s="16">
        <f t="shared" si="175"/>
        <v>3.888095238095238</v>
      </c>
      <c r="AM106" s="16">
        <f t="shared" si="175"/>
        <v>3.8933862433862436</v>
      </c>
      <c r="AN106" s="16">
        <f t="shared" si="175"/>
        <v>3.9293650793650792</v>
      </c>
      <c r="AO106" s="16">
        <f t="shared" si="175"/>
        <v>4.05</v>
      </c>
      <c r="AP106" s="16">
        <f t="shared" si="175"/>
        <v>4.2679894179894191</v>
      </c>
      <c r="AQ106" s="16">
        <f t="shared" si="175"/>
        <v>4.386507936507936</v>
      </c>
      <c r="AR106" s="16">
        <f t="shared" si="175"/>
        <v>4.3642857142857139</v>
      </c>
      <c r="AS106" s="16">
        <f t="shared" si="175"/>
        <v>4.2891534391534396</v>
      </c>
      <c r="AT106" s="16">
        <f t="shared" si="175"/>
        <v>4.1283068783068781</v>
      </c>
      <c r="AU106" s="16">
        <f t="shared" si="175"/>
        <v>4.1462962962962964</v>
      </c>
      <c r="AV106" s="16">
        <f t="shared" si="175"/>
        <v>4.1727513227513224</v>
      </c>
      <c r="AW106" s="16">
        <f t="shared" si="175"/>
        <v>4.1365463731125489</v>
      </c>
    </row>
    <row r="107" spans="1:49">
      <c r="A107" s="175">
        <v>2.5000000000000001E-2</v>
      </c>
      <c r="B107" s="185">
        <v>1.04</v>
      </c>
      <c r="C107" s="4" t="s">
        <v>379</v>
      </c>
      <c r="D107" s="16">
        <f>(D106*$B$107)/(1-$A$107)</f>
        <v>4.8970082669334403</v>
      </c>
      <c r="E107" s="16">
        <f t="shared" ref="E107:P107" si="176">(E106*$B$107)/(1-$A$107)</f>
        <v>4.8490272347216399</v>
      </c>
      <c r="F107" s="16">
        <f t="shared" si="176"/>
        <v>4.3971841960988183</v>
      </c>
      <c r="G107" s="16">
        <f t="shared" si="176"/>
        <v>4.3381815123675098</v>
      </c>
      <c r="H107" s="16">
        <f t="shared" si="176"/>
        <v>4.0782688936398985</v>
      </c>
      <c r="I107" s="16">
        <f t="shared" si="176"/>
        <v>3.9290346065570949</v>
      </c>
      <c r="J107" s="16">
        <f t="shared" si="176"/>
        <v>3.7140924158616597</v>
      </c>
      <c r="K107" s="16">
        <f t="shared" si="176"/>
        <v>3.4066862656089496</v>
      </c>
      <c r="L107" s="16">
        <f t="shared" si="176"/>
        <v>3.2890118500446723</v>
      </c>
      <c r="M107" s="16">
        <f t="shared" si="176"/>
        <v>2.7462738915016178</v>
      </c>
      <c r="N107" s="16">
        <f t="shared" si="176"/>
        <v>2.497277164812393</v>
      </c>
      <c r="O107" s="16">
        <f t="shared" si="176"/>
        <v>2.8479408813159282</v>
      </c>
      <c r="P107" s="34">
        <f t="shared" si="176"/>
        <v>3.715836607866569</v>
      </c>
      <c r="Q107" s="175"/>
      <c r="R107" s="171">
        <v>2.5000000000000001E-2</v>
      </c>
      <c r="S107" s="185">
        <v>1.04</v>
      </c>
      <c r="T107" s="4" t="s">
        <v>240</v>
      </c>
      <c r="U107" s="16">
        <f t="shared" ref="U107:AG107" si="177">(U106*$S$107)/(1-$R$107)</f>
        <v>3.4274514694077101</v>
      </c>
      <c r="V107" s="16">
        <f t="shared" si="177"/>
        <v>3.7150840461474841</v>
      </c>
      <c r="W107" s="16">
        <f t="shared" si="177"/>
        <v>3.760850857945131</v>
      </c>
      <c r="X107" s="16">
        <f t="shared" si="177"/>
        <v>3.7818980180672965</v>
      </c>
      <c r="Y107" s="16">
        <f t="shared" si="177"/>
        <v>3.8321803287138403</v>
      </c>
      <c r="Z107" s="16">
        <f t="shared" si="177"/>
        <v>4.0984782669039763</v>
      </c>
      <c r="AA107" s="16">
        <f t="shared" si="177"/>
        <v>4.2364033277346502</v>
      </c>
      <c r="AB107" s="16">
        <f t="shared" si="177"/>
        <v>4.2570506692581072</v>
      </c>
      <c r="AC107" s="16">
        <f t="shared" si="177"/>
        <v>4.223867614881657</v>
      </c>
      <c r="AD107" s="16">
        <f t="shared" si="177"/>
        <v>4.1465604291902691</v>
      </c>
      <c r="AE107" s="16">
        <f t="shared" si="177"/>
        <v>3.9243955706500921</v>
      </c>
      <c r="AF107" s="16">
        <f t="shared" si="177"/>
        <v>3.9471985377860372</v>
      </c>
      <c r="AG107" s="16">
        <f t="shared" si="177"/>
        <v>3.9758074916749244</v>
      </c>
      <c r="AH107" s="173">
        <v>2.5000000000000001E-2</v>
      </c>
      <c r="AI107" s="174">
        <v>1.04</v>
      </c>
      <c r="AJ107" s="4" t="s">
        <v>240</v>
      </c>
      <c r="AK107" s="16">
        <f t="shared" ref="AK107:AW107" si="178">(AK106*$S$107)/(1-$R$107)</f>
        <v>4.1213403880070549</v>
      </c>
      <c r="AL107" s="16">
        <f t="shared" si="178"/>
        <v>4.1473015873015875</v>
      </c>
      <c r="AM107" s="16">
        <f t="shared" si="178"/>
        <v>4.15294532627866</v>
      </c>
      <c r="AN107" s="16">
        <f t="shared" si="178"/>
        <v>4.191322751322752</v>
      </c>
      <c r="AO107" s="16">
        <f t="shared" si="178"/>
        <v>4.3199999999999994</v>
      </c>
      <c r="AP107" s="16">
        <f t="shared" si="178"/>
        <v>4.5525220458553806</v>
      </c>
      <c r="AQ107" s="16">
        <f t="shared" si="178"/>
        <v>4.678941798941799</v>
      </c>
      <c r="AR107" s="16">
        <f t="shared" si="178"/>
        <v>4.6552380952380945</v>
      </c>
      <c r="AS107" s="16">
        <f t="shared" si="178"/>
        <v>4.5750970017636687</v>
      </c>
      <c r="AT107" s="16">
        <f t="shared" si="178"/>
        <v>4.4035273368606704</v>
      </c>
      <c r="AU107" s="16">
        <f t="shared" si="178"/>
        <v>4.4227160493827169</v>
      </c>
      <c r="AV107" s="16">
        <f t="shared" si="178"/>
        <v>4.4509347442680776</v>
      </c>
      <c r="AW107" s="16">
        <f t="shared" si="178"/>
        <v>4.4123161313200523</v>
      </c>
    </row>
    <row r="108" spans="1:49">
      <c r="A108" s="16"/>
      <c r="B108" s="16"/>
      <c r="C108" s="4" t="s">
        <v>376</v>
      </c>
      <c r="D108" s="16">
        <f t="shared" ref="D108:P108" si="179">D107-D103</f>
        <v>0.56082360160738443</v>
      </c>
      <c r="E108" s="16">
        <f t="shared" si="179"/>
        <v>0.46666067179251147</v>
      </c>
      <c r="F108" s="17">
        <f t="shared" si="179"/>
        <v>0.50214513109518011</v>
      </c>
      <c r="G108" s="17">
        <f t="shared" si="179"/>
        <v>-4.1794435945487152E-2</v>
      </c>
      <c r="H108" s="17">
        <f t="shared" si="179"/>
        <v>0.35245571156129341</v>
      </c>
      <c r="I108" s="17">
        <f t="shared" si="179"/>
        <v>-0.10999224796508322</v>
      </c>
      <c r="J108" s="17">
        <f t="shared" si="179"/>
        <v>-0.59657261443627441</v>
      </c>
      <c r="K108" s="17">
        <f t="shared" si="179"/>
        <v>-0.4048402024244071</v>
      </c>
      <c r="L108" s="17">
        <f t="shared" si="179"/>
        <v>-0.41764187086592397</v>
      </c>
      <c r="M108" s="16">
        <f t="shared" si="179"/>
        <v>-0.47855375465658989</v>
      </c>
      <c r="N108" s="16">
        <f t="shared" si="179"/>
        <v>0.51885884637307211</v>
      </c>
      <c r="O108" s="16">
        <f t="shared" si="179"/>
        <v>0.35659309175833043</v>
      </c>
      <c r="P108" s="34">
        <f t="shared" si="179"/>
        <v>-9.6691401055097881E-2</v>
      </c>
      <c r="Q108" s="16"/>
      <c r="R108" s="16"/>
      <c r="S108" s="16"/>
      <c r="T108" s="4" t="s">
        <v>245</v>
      </c>
      <c r="U108" s="16">
        <f t="shared" ref="U108:AG108" si="180">U107-U103</f>
        <v>2.2998501427199614E-2</v>
      </c>
      <c r="V108" s="16">
        <f t="shared" si="180"/>
        <v>2.1881385018652999E-2</v>
      </c>
      <c r="W108" s="16">
        <f t="shared" si="180"/>
        <v>1.9403617559274888E-2</v>
      </c>
      <c r="X108" s="16">
        <f t="shared" si="180"/>
        <v>3.9042667539583853E-3</v>
      </c>
      <c r="Y108" s="17">
        <f t="shared" si="180"/>
        <v>-3.1470157084783068E-3</v>
      </c>
      <c r="Z108" s="17">
        <f t="shared" si="180"/>
        <v>0.11176672952340327</v>
      </c>
      <c r="AA108" s="17">
        <f t="shared" si="180"/>
        <v>0.16632462972597661</v>
      </c>
      <c r="AB108" s="17">
        <f t="shared" si="180"/>
        <v>0.17313291347361215</v>
      </c>
      <c r="AC108" s="17">
        <f t="shared" si="180"/>
        <v>8.0387820826650191E-2</v>
      </c>
      <c r="AD108" s="16">
        <f t="shared" si="180"/>
        <v>-5.3355152864931199E-4</v>
      </c>
      <c r="AE108" s="16">
        <f t="shared" si="180"/>
        <v>9.9225740099804227E-3</v>
      </c>
      <c r="AF108" s="16">
        <f t="shared" si="180"/>
        <v>2.0829140718460426E-2</v>
      </c>
      <c r="AG108" s="16">
        <f t="shared" si="180"/>
        <v>7.6428145785332191E-3</v>
      </c>
      <c r="AH108" s="16"/>
      <c r="AI108" s="16"/>
      <c r="AJ108" s="4" t="s">
        <v>245</v>
      </c>
      <c r="AK108" s="16">
        <f t="shared" ref="AK108:AW108" si="181">AK107-AK103</f>
        <v>1.7710248681001239E-2</v>
      </c>
      <c r="AL108" s="16">
        <f t="shared" si="181"/>
        <v>1.9125225206677143E-2</v>
      </c>
      <c r="AM108" s="16">
        <f t="shared" si="181"/>
        <v>1.5715321706307961E-2</v>
      </c>
      <c r="AN108" s="16">
        <f t="shared" si="181"/>
        <v>-8.3200928810622798E-4</v>
      </c>
      <c r="AO108" s="17">
        <f t="shared" si="181"/>
        <v>-1.0151054729451658E-2</v>
      </c>
      <c r="AP108" s="17">
        <f t="shared" si="181"/>
        <v>0.18907536010215864</v>
      </c>
      <c r="AQ108" s="17">
        <f t="shared" si="181"/>
        <v>0.2444635462024376</v>
      </c>
      <c r="AR108" s="17">
        <f t="shared" si="181"/>
        <v>0.23532312533458288</v>
      </c>
      <c r="AS108" s="17">
        <f t="shared" si="181"/>
        <v>9.5620278728725694E-2</v>
      </c>
      <c r="AT108" s="16">
        <f t="shared" si="181"/>
        <v>-3.5130375394825109E-3</v>
      </c>
      <c r="AU108" s="16">
        <f t="shared" si="181"/>
        <v>5.3167743092599196E-3</v>
      </c>
      <c r="AV108" s="16">
        <f t="shared" si="181"/>
        <v>1.7096942694856843E-2</v>
      </c>
      <c r="AW108" s="16">
        <f t="shared" si="181"/>
        <v>4.9305499506666628E-2</v>
      </c>
    </row>
    <row r="109" spans="1:49">
      <c r="C109" s="10"/>
      <c r="D109" s="10"/>
      <c r="E109" s="10"/>
      <c r="F109" s="10"/>
      <c r="G109" s="10"/>
      <c r="H109" s="10"/>
      <c r="I109" s="10"/>
      <c r="J109" s="10"/>
      <c r="K109" s="10"/>
      <c r="L109" s="24"/>
      <c r="M109" s="10"/>
      <c r="N109" s="10"/>
      <c r="O109" s="10"/>
      <c r="P109" s="11"/>
      <c r="T109" s="10"/>
      <c r="U109" s="10"/>
      <c r="V109" s="10"/>
      <c r="W109" s="10"/>
      <c r="X109" s="10"/>
      <c r="Y109" s="10"/>
      <c r="Z109" s="10"/>
      <c r="AA109" s="10"/>
      <c r="AB109" s="10"/>
      <c r="AC109" s="24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24"/>
      <c r="AT109" s="10"/>
      <c r="AU109" s="10"/>
      <c r="AV109" s="10"/>
      <c r="AW109" s="10"/>
    </row>
    <row r="110" spans="1:49" s="16" customFormat="1">
      <c r="C110" s="7" t="s">
        <v>241</v>
      </c>
      <c r="D110" s="16">
        <f t="shared" ref="D110:P110" si="182">D68</f>
        <v>4.919790575916231</v>
      </c>
      <c r="E110" s="16">
        <f t="shared" si="182"/>
        <v>4.8784642233856905</v>
      </c>
      <c r="F110" s="16">
        <f t="shared" si="182"/>
        <v>4.3613263525305417</v>
      </c>
      <c r="G110" s="16">
        <f t="shared" si="182"/>
        <v>4.2518673647469463</v>
      </c>
      <c r="H110" s="16">
        <f t="shared" si="182"/>
        <v>3.9893891797556722</v>
      </c>
      <c r="I110" s="16">
        <f t="shared" si="182"/>
        <v>3.8106806282722512</v>
      </c>
      <c r="J110" s="16">
        <f t="shared" si="182"/>
        <v>3.4979406631762653</v>
      </c>
      <c r="K110" s="16">
        <f t="shared" si="182"/>
        <v>3.0444677137870855</v>
      </c>
      <c r="L110" s="17">
        <f t="shared" si="182"/>
        <v>2.7853403141361261</v>
      </c>
      <c r="M110" s="16">
        <f t="shared" si="182"/>
        <v>2.5005235602094236</v>
      </c>
      <c r="N110" s="16">
        <f t="shared" si="182"/>
        <v>2.3273996509598605</v>
      </c>
      <c r="O110" s="16">
        <f t="shared" si="182"/>
        <v>2.7663525305410119</v>
      </c>
      <c r="P110" s="34">
        <f t="shared" si="182"/>
        <v>3.5224557665270071</v>
      </c>
      <c r="T110" s="7" t="s">
        <v>241</v>
      </c>
      <c r="U110" s="16">
        <f t="shared" ref="U110:AG110" si="183">U68</f>
        <v>3.1516928446771382</v>
      </c>
      <c r="V110" s="16">
        <f t="shared" si="183"/>
        <v>3.4945898778359514</v>
      </c>
      <c r="W110" s="16">
        <f t="shared" si="183"/>
        <v>3.4890052356020944</v>
      </c>
      <c r="X110" s="16">
        <f t="shared" si="183"/>
        <v>3.4968237347294941</v>
      </c>
      <c r="Y110" s="16">
        <f t="shared" si="183"/>
        <v>3.6487260034904012</v>
      </c>
      <c r="Z110" s="16">
        <f t="shared" si="183"/>
        <v>3.9078534031413614</v>
      </c>
      <c r="AA110" s="16">
        <f t="shared" si="183"/>
        <v>4.0530541012216403</v>
      </c>
      <c r="AB110" s="16">
        <f t="shared" si="183"/>
        <v>4.0597556719022698</v>
      </c>
      <c r="AC110" s="17">
        <f t="shared" si="183"/>
        <v>4.0128446771378705</v>
      </c>
      <c r="AD110" s="16">
        <f t="shared" si="183"/>
        <v>3.9704013961605589</v>
      </c>
      <c r="AE110" s="16">
        <f t="shared" si="183"/>
        <v>3.9905061082024433</v>
      </c>
      <c r="AF110" s="16">
        <f t="shared" si="183"/>
        <v>4.0295986038394416</v>
      </c>
      <c r="AG110" s="16">
        <f t="shared" si="183"/>
        <v>3.813120164524233</v>
      </c>
      <c r="AJ110" s="7" t="s">
        <v>241</v>
      </c>
      <c r="AK110" s="16">
        <f t="shared" ref="AK110:AW110" si="184">AK68</f>
        <v>4.0787434554973823</v>
      </c>
      <c r="AL110" s="16">
        <f t="shared" si="184"/>
        <v>4.1044328097731242</v>
      </c>
      <c r="AM110" s="16">
        <f t="shared" si="184"/>
        <v>4.1100174520069812</v>
      </c>
      <c r="AN110" s="16">
        <f t="shared" si="184"/>
        <v>4.1479930191972079</v>
      </c>
      <c r="AO110" s="16">
        <f t="shared" si="184"/>
        <v>4.2753228621291459</v>
      </c>
      <c r="AP110" s="16">
        <f t="shared" si="184"/>
        <v>4.505410122164049</v>
      </c>
      <c r="AQ110" s="16">
        <f t="shared" si="184"/>
        <v>4.630506108202443</v>
      </c>
      <c r="AR110" s="16">
        <f t="shared" si="184"/>
        <v>4.6070506108202443</v>
      </c>
      <c r="AS110" s="17">
        <f t="shared" si="184"/>
        <v>4.5277486910994762</v>
      </c>
      <c r="AT110" s="16">
        <f t="shared" si="184"/>
        <v>4.3579755671902278</v>
      </c>
      <c r="AU110" s="16">
        <f t="shared" si="184"/>
        <v>4.3769633507853403</v>
      </c>
      <c r="AV110" s="16">
        <f t="shared" si="184"/>
        <v>4.4048865619546245</v>
      </c>
      <c r="AW110" s="16">
        <f t="shared" si="184"/>
        <v>4.377912260159853</v>
      </c>
    </row>
    <row r="111" spans="1:49" s="16" customFormat="1">
      <c r="C111" s="7" t="s">
        <v>115</v>
      </c>
      <c r="D111" s="22">
        <f>+D12</f>
        <v>237396.3</v>
      </c>
      <c r="E111" s="22">
        <f t="shared" ref="E111:O111" si="185">+E12</f>
        <v>276343.30000000005</v>
      </c>
      <c r="F111" s="22">
        <f t="shared" si="185"/>
        <v>310780.5</v>
      </c>
      <c r="G111" s="22">
        <f t="shared" si="185"/>
        <v>555374.60000000009</v>
      </c>
      <c r="H111" s="22">
        <f t="shared" si="185"/>
        <v>1041641.6</v>
      </c>
      <c r="I111" s="22">
        <f t="shared" si="185"/>
        <v>1538484.5000000002</v>
      </c>
      <c r="J111" s="22">
        <f t="shared" si="185"/>
        <v>1758792.9</v>
      </c>
      <c r="K111" s="22">
        <f t="shared" si="185"/>
        <v>1565339.9000000001</v>
      </c>
      <c r="L111" s="28">
        <f t="shared" si="185"/>
        <v>805485.6</v>
      </c>
      <c r="M111" s="22">
        <f t="shared" si="185"/>
        <v>565655.50000000012</v>
      </c>
      <c r="N111" s="22">
        <f t="shared" si="185"/>
        <v>372153.9</v>
      </c>
      <c r="O111" s="22">
        <f t="shared" si="185"/>
        <v>281724.09999999998</v>
      </c>
      <c r="P111" s="59">
        <f>SUM(D111:O111)</f>
        <v>9309172.7000000011</v>
      </c>
      <c r="T111" s="7" t="s">
        <v>115</v>
      </c>
      <c r="U111" s="22">
        <f>+U12</f>
        <v>268894</v>
      </c>
      <c r="V111" s="22">
        <f t="shared" ref="V111:AF111" si="186">+V12</f>
        <v>268894</v>
      </c>
      <c r="W111" s="22">
        <f t="shared" si="186"/>
        <v>311934</v>
      </c>
      <c r="X111" s="22">
        <f t="shared" si="186"/>
        <v>674650.00000000012</v>
      </c>
      <c r="Y111" s="22">
        <f t="shared" si="186"/>
        <v>1139358</v>
      </c>
      <c r="Z111" s="22">
        <f t="shared" si="186"/>
        <v>1750699</v>
      </c>
      <c r="AA111" s="22">
        <f t="shared" si="186"/>
        <v>1931698</v>
      </c>
      <c r="AB111" s="22">
        <f t="shared" si="186"/>
        <v>1585447</v>
      </c>
      <c r="AC111" s="28">
        <f t="shared" si="186"/>
        <v>1293229</v>
      </c>
      <c r="AD111" s="22">
        <f t="shared" si="186"/>
        <v>737580</v>
      </c>
      <c r="AE111" s="22">
        <f t="shared" si="186"/>
        <v>416080</v>
      </c>
      <c r="AF111" s="22">
        <f t="shared" si="186"/>
        <v>270165</v>
      </c>
      <c r="AG111" s="22">
        <f>SUM(U111:AF111)</f>
        <v>10648628</v>
      </c>
      <c r="AJ111" s="7" t="s">
        <v>115</v>
      </c>
      <c r="AK111" s="22">
        <f>+AK12</f>
        <v>272738</v>
      </c>
      <c r="AL111" s="22">
        <f t="shared" ref="AL111:AV111" si="187">+AL12</f>
        <v>272738</v>
      </c>
      <c r="AM111" s="22">
        <f t="shared" si="187"/>
        <v>316383.3</v>
      </c>
      <c r="AN111" s="22">
        <f t="shared" si="187"/>
        <v>684216.2</v>
      </c>
      <c r="AO111" s="22">
        <f t="shared" si="187"/>
        <v>1155476.1000000001</v>
      </c>
      <c r="AP111" s="22">
        <f t="shared" si="187"/>
        <v>1775440.25</v>
      </c>
      <c r="AQ111" s="22">
        <f t="shared" si="187"/>
        <v>1958991.8000000003</v>
      </c>
      <c r="AR111" s="22">
        <f t="shared" si="187"/>
        <v>1607852.75</v>
      </c>
      <c r="AS111" s="28">
        <f t="shared" si="187"/>
        <v>1311518.75</v>
      </c>
      <c r="AT111" s="22">
        <f t="shared" si="187"/>
        <v>748032</v>
      </c>
      <c r="AU111" s="22">
        <f t="shared" si="187"/>
        <v>421999.69999999995</v>
      </c>
      <c r="AV111" s="22">
        <f t="shared" si="187"/>
        <v>274025.25</v>
      </c>
      <c r="AW111" s="22">
        <f>SUM(AK111:AV111)</f>
        <v>10799412.1</v>
      </c>
    </row>
    <row r="112" spans="1:49" s="16" customFormat="1">
      <c r="C112" s="7" t="s">
        <v>242</v>
      </c>
      <c r="D112" s="32">
        <f t="shared" ref="D112:O112" si="188">D110*D111</f>
        <v>1167940.0794973823</v>
      </c>
      <c r="E112" s="32">
        <f t="shared" si="188"/>
        <v>1348130.9024223392</v>
      </c>
      <c r="F112" s="32">
        <f t="shared" si="188"/>
        <v>1355415.1845026179</v>
      </c>
      <c r="G112" s="32">
        <f t="shared" si="188"/>
        <v>2361379.1369493897</v>
      </c>
      <c r="H112" s="32">
        <f t="shared" si="188"/>
        <v>4155513.7282233858</v>
      </c>
      <c r="I112" s="32">
        <f t="shared" si="188"/>
        <v>5862673.0810471214</v>
      </c>
      <c r="J112" s="32">
        <f t="shared" si="188"/>
        <v>6152153.2030157065</v>
      </c>
      <c r="K112" s="32">
        <f t="shared" si="188"/>
        <v>4765626.7866527056</v>
      </c>
      <c r="L112" s="39">
        <f t="shared" si="188"/>
        <v>2243551.5141361258</v>
      </c>
      <c r="M112" s="32">
        <f t="shared" si="188"/>
        <v>1414434.9047120418</v>
      </c>
      <c r="N112" s="32">
        <f t="shared" si="188"/>
        <v>866150.8569633509</v>
      </c>
      <c r="O112" s="32">
        <f t="shared" si="188"/>
        <v>779348.17694938905</v>
      </c>
      <c r="P112" s="43">
        <f>SUM(D112:O112)</f>
        <v>32472317.555071555</v>
      </c>
      <c r="T112" s="7" t="s">
        <v>242</v>
      </c>
      <c r="U112" s="32">
        <f t="shared" ref="U112:AF112" si="189">U110*U111</f>
        <v>847471.29577661434</v>
      </c>
      <c r="V112" s="32">
        <f t="shared" si="189"/>
        <v>939674.25061082037</v>
      </c>
      <c r="W112" s="32">
        <f t="shared" si="189"/>
        <v>1088339.3591623036</v>
      </c>
      <c r="X112" s="32">
        <f t="shared" si="189"/>
        <v>2359132.1326352535</v>
      </c>
      <c r="Y112" s="32">
        <f t="shared" si="189"/>
        <v>4157205.1618848164</v>
      </c>
      <c r="Z112" s="32">
        <f t="shared" si="189"/>
        <v>6841475.0450261785</v>
      </c>
      <c r="AA112" s="32">
        <f t="shared" si="189"/>
        <v>7829276.50122164</v>
      </c>
      <c r="AB112" s="32">
        <f t="shared" si="189"/>
        <v>6436527.4507504376</v>
      </c>
      <c r="AC112" s="39">
        <f t="shared" si="189"/>
        <v>5189527.108970331</v>
      </c>
      <c r="AD112" s="32">
        <f t="shared" si="189"/>
        <v>2928488.661780105</v>
      </c>
      <c r="AE112" s="32">
        <f t="shared" si="189"/>
        <v>1660369.7815008727</v>
      </c>
      <c r="AF112" s="32">
        <f t="shared" si="189"/>
        <v>1088656.5068062828</v>
      </c>
      <c r="AG112" s="32">
        <f>SUM(U112:AF112)</f>
        <v>41366143.256125659</v>
      </c>
      <c r="AJ112" s="7" t="s">
        <v>242</v>
      </c>
      <c r="AK112" s="32">
        <f t="shared" ref="AK112:AV112" si="190">AK110*AK111</f>
        <v>1112428.332565445</v>
      </c>
      <c r="AL112" s="32">
        <f t="shared" si="190"/>
        <v>1119434.7956719024</v>
      </c>
      <c r="AM112" s="32">
        <f t="shared" si="190"/>
        <v>1300340.8845235603</v>
      </c>
      <c r="AN112" s="32">
        <f t="shared" si="190"/>
        <v>2838124.0212216405</v>
      </c>
      <c r="AO112" s="32">
        <f t="shared" si="190"/>
        <v>4940033.3869738234</v>
      </c>
      <c r="AP112" s="32">
        <f t="shared" si="190"/>
        <v>7999086.4736474697</v>
      </c>
      <c r="AQ112" s="32">
        <f t="shared" si="190"/>
        <v>9071123.4958184995</v>
      </c>
      <c r="AR112" s="32">
        <f t="shared" si="190"/>
        <v>7407458.9939965094</v>
      </c>
      <c r="AS112" s="39">
        <f t="shared" si="190"/>
        <v>5938227.3036649209</v>
      </c>
      <c r="AT112" s="32">
        <f t="shared" si="190"/>
        <v>3259905.1794764404</v>
      </c>
      <c r="AU112" s="32">
        <f t="shared" si="190"/>
        <v>1847077.2209424081</v>
      </c>
      <c r="AV112" s="32">
        <f t="shared" si="190"/>
        <v>1207050.1413612564</v>
      </c>
      <c r="AW112" s="32">
        <f>SUM(AK112:AV112)</f>
        <v>48040290.229863882</v>
      </c>
    </row>
    <row r="113" spans="1:50" s="16" customFormat="1">
      <c r="C113" s="7" t="s">
        <v>77</v>
      </c>
      <c r="D113" s="32">
        <f>D35</f>
        <v>911919.02033876954</v>
      </c>
      <c r="E113" s="32">
        <f t="shared" ref="E113:P113" si="191">E35</f>
        <v>1100600.1551010422</v>
      </c>
      <c r="F113" s="32">
        <f t="shared" si="191"/>
        <v>1076730.7394908264</v>
      </c>
      <c r="G113" s="32">
        <f t="shared" si="191"/>
        <v>2443663.3219065098</v>
      </c>
      <c r="H113" s="32">
        <f t="shared" si="191"/>
        <v>3734598.4671436241</v>
      </c>
      <c r="I113" s="32">
        <f t="shared" si="191"/>
        <v>6206899.8073999761</v>
      </c>
      <c r="J113" s="32">
        <f t="shared" si="191"/>
        <v>7764596.490696297</v>
      </c>
      <c r="K113" s="32">
        <f t="shared" si="191"/>
        <v>6083521.4279165417</v>
      </c>
      <c r="L113" s="39">
        <f t="shared" si="191"/>
        <v>3100101.6977507109</v>
      </c>
      <c r="M113" s="32">
        <f t="shared" si="191"/>
        <v>2019637.9034270202</v>
      </c>
      <c r="N113" s="32">
        <f t="shared" si="191"/>
        <v>649797.47189604794</v>
      </c>
      <c r="O113" s="32">
        <f t="shared" si="191"/>
        <v>638778.23857390834</v>
      </c>
      <c r="P113" s="43">
        <f t="shared" si="191"/>
        <v>35730844.741641268</v>
      </c>
      <c r="T113" s="7" t="s">
        <v>77</v>
      </c>
      <c r="U113" s="32">
        <f>U35</f>
        <v>972292.83850801189</v>
      </c>
      <c r="V113" s="32">
        <f t="shared" ref="V113:AG113" si="192">V35</f>
        <v>1040596.1586365645</v>
      </c>
      <c r="W113" s="32">
        <f t="shared" si="192"/>
        <v>1231341.1913801802</v>
      </c>
      <c r="X113" s="32">
        <f t="shared" si="192"/>
        <v>2627253.0487494413</v>
      </c>
      <c r="Y113" s="32">
        <f t="shared" si="192"/>
        <v>4432591.0476294579</v>
      </c>
      <c r="Z113" s="32">
        <f t="shared" si="192"/>
        <v>7013239.0226798402</v>
      </c>
      <c r="AA113" s="32">
        <f t="shared" si="192"/>
        <v>7869814.4155659219</v>
      </c>
      <c r="AB113" s="32">
        <f t="shared" si="192"/>
        <v>6483713.270256944</v>
      </c>
      <c r="AC113" s="39">
        <f t="shared" si="192"/>
        <v>5401504.6635031439</v>
      </c>
      <c r="AD113" s="32">
        <f t="shared" si="192"/>
        <v>3113666.0242489567</v>
      </c>
      <c r="AE113" s="32">
        <f t="shared" si="192"/>
        <v>1610110.3740959403</v>
      </c>
      <c r="AF113" s="32">
        <f t="shared" si="192"/>
        <v>1035018.094821588</v>
      </c>
      <c r="AG113" s="32">
        <f t="shared" si="192"/>
        <v>42831140.150075994</v>
      </c>
      <c r="AJ113" s="7" t="s">
        <v>77</v>
      </c>
      <c r="AK113" s="32">
        <f>AK35</f>
        <v>1125101.57766499</v>
      </c>
      <c r="AL113" s="32">
        <f t="shared" ref="AL113:AW113" si="193">AL35</f>
        <v>1131882.0680539708</v>
      </c>
      <c r="AM113" s="32">
        <f t="shared" si="193"/>
        <v>1315949.5502254295</v>
      </c>
      <c r="AN113" s="32">
        <f t="shared" si="193"/>
        <v>2881222.1800874332</v>
      </c>
      <c r="AO113" s="32">
        <f t="shared" si="193"/>
        <v>5022367.5734078987</v>
      </c>
      <c r="AP113" s="32">
        <f t="shared" si="193"/>
        <v>7683836.7527252715</v>
      </c>
      <c r="AQ113" s="32">
        <f t="shared" si="193"/>
        <v>8595718.3481778502</v>
      </c>
      <c r="AR113" s="32">
        <f t="shared" si="193"/>
        <v>7036733.4179354031</v>
      </c>
      <c r="AS113" s="39">
        <f t="shared" si="193"/>
        <v>5858592.1328494595</v>
      </c>
      <c r="AT113" s="32">
        <f t="shared" si="193"/>
        <v>3312317.776611913</v>
      </c>
      <c r="AU113" s="32">
        <f t="shared" si="193"/>
        <v>1874561.5065502636</v>
      </c>
      <c r="AV113" s="32">
        <f t="shared" si="193"/>
        <v>1222429.770865455</v>
      </c>
      <c r="AW113" s="32">
        <f t="shared" si="193"/>
        <v>47060712.655155346</v>
      </c>
    </row>
    <row r="114" spans="1:50" s="16" customFormat="1">
      <c r="C114" s="4" t="s">
        <v>133</v>
      </c>
      <c r="D114" s="16">
        <f t="shared" ref="D114:O114" si="194">D113/D111</f>
        <v>3.8413362817313059</v>
      </c>
      <c r="E114" s="16">
        <f t="shared" si="194"/>
        <v>3.9827278428716819</v>
      </c>
      <c r="F114" s="16">
        <f t="shared" si="194"/>
        <v>3.4646019923734803</v>
      </c>
      <c r="G114" s="16">
        <f t="shared" si="194"/>
        <v>4.4000271562770594</v>
      </c>
      <c r="H114" s="16">
        <f t="shared" si="194"/>
        <v>3.5853008051364541</v>
      </c>
      <c r="I114" s="16">
        <f t="shared" si="194"/>
        <v>4.0344246610219177</v>
      </c>
      <c r="J114" s="16">
        <f t="shared" si="194"/>
        <v>4.4147304044133326</v>
      </c>
      <c r="K114" s="16">
        <f t="shared" si="194"/>
        <v>3.8863900600224532</v>
      </c>
      <c r="L114" s="17">
        <f t="shared" si="194"/>
        <v>3.8487363371247243</v>
      </c>
      <c r="M114" s="16">
        <f t="shared" si="194"/>
        <v>3.5704380200086798</v>
      </c>
      <c r="N114" s="16">
        <f t="shared" si="194"/>
        <v>1.7460450418390023</v>
      </c>
      <c r="O114" s="16">
        <f t="shared" si="194"/>
        <v>2.2673894018080398</v>
      </c>
      <c r="P114" s="43"/>
      <c r="T114" s="4" t="s">
        <v>133</v>
      </c>
      <c r="U114" s="16">
        <f t="shared" ref="U114:AF114" si="195">U113/U111</f>
        <v>3.6158963699748297</v>
      </c>
      <c r="V114" s="16">
        <f t="shared" si="195"/>
        <v>3.8699121536239725</v>
      </c>
      <c r="W114" s="16">
        <f t="shared" si="195"/>
        <v>3.9474414183134257</v>
      </c>
      <c r="X114" s="16">
        <f t="shared" si="195"/>
        <v>3.8942459775430827</v>
      </c>
      <c r="Y114" s="16">
        <f t="shared" si="195"/>
        <v>3.8904286867073017</v>
      </c>
      <c r="Z114" s="16">
        <f t="shared" si="195"/>
        <v>4.0059650589163756</v>
      </c>
      <c r="AA114" s="16">
        <f t="shared" si="195"/>
        <v>4.0740397389063521</v>
      </c>
      <c r="AB114" s="16">
        <f t="shared" si="195"/>
        <v>4.0895175116272853</v>
      </c>
      <c r="AC114" s="17">
        <f t="shared" si="195"/>
        <v>4.1767580710787833</v>
      </c>
      <c r="AD114" s="16">
        <f t="shared" si="195"/>
        <v>4.2214621115661446</v>
      </c>
      <c r="AE114" s="16">
        <f t="shared" si="195"/>
        <v>3.8697134543740153</v>
      </c>
      <c r="AF114" s="16">
        <f t="shared" si="195"/>
        <v>3.8310591483781691</v>
      </c>
      <c r="AG114" s="32"/>
      <c r="AJ114" s="4" t="s">
        <v>133</v>
      </c>
      <c r="AK114" s="16">
        <f t="shared" ref="AK114:AV114" si="196">AK113/AK111</f>
        <v>4.1252101931706981</v>
      </c>
      <c r="AL114" s="16">
        <f t="shared" si="196"/>
        <v>4.1500710134046992</v>
      </c>
      <c r="AM114" s="16">
        <f t="shared" si="196"/>
        <v>4.1593521220160152</v>
      </c>
      <c r="AN114" s="16">
        <f t="shared" si="196"/>
        <v>4.2109821136761063</v>
      </c>
      <c r="AO114" s="16">
        <f t="shared" si="196"/>
        <v>4.3465784998996506</v>
      </c>
      <c r="AP114" s="16">
        <f t="shared" si="196"/>
        <v>4.3278486858261047</v>
      </c>
      <c r="AQ114" s="16">
        <f t="shared" si="196"/>
        <v>4.387827630609709</v>
      </c>
      <c r="AR114" s="16">
        <f t="shared" si="196"/>
        <v>4.376478765195011</v>
      </c>
      <c r="AS114" s="17">
        <f t="shared" si="196"/>
        <v>4.4670288799526956</v>
      </c>
      <c r="AT114" s="16">
        <f t="shared" si="196"/>
        <v>4.4280428866838761</v>
      </c>
      <c r="AU114" s="16">
        <f t="shared" si="196"/>
        <v>4.4420920359665272</v>
      </c>
      <c r="AV114" s="16">
        <f t="shared" si="196"/>
        <v>4.4610114245510406</v>
      </c>
      <c r="AW114" s="32"/>
    </row>
    <row r="115" spans="1:50" s="16" customFormat="1">
      <c r="A115" s="175"/>
      <c r="C115" s="7" t="s">
        <v>200</v>
      </c>
      <c r="D115" s="32">
        <f t="shared" ref="D115:P115" si="197">D113-D112</f>
        <v>-256021.05915861274</v>
      </c>
      <c r="E115" s="32">
        <f t="shared" si="197"/>
        <v>-247530.74732129695</v>
      </c>
      <c r="F115" s="32">
        <f t="shared" si="197"/>
        <v>-278684.44501179154</v>
      </c>
      <c r="G115" s="32">
        <f t="shared" si="197"/>
        <v>82284.184957120102</v>
      </c>
      <c r="H115" s="32">
        <f t="shared" si="197"/>
        <v>-420915.26107976167</v>
      </c>
      <c r="I115" s="32">
        <f t="shared" si="197"/>
        <v>344226.72635285463</v>
      </c>
      <c r="J115" s="32">
        <f t="shared" si="197"/>
        <v>1612443.2876805905</v>
      </c>
      <c r="K115" s="32">
        <f t="shared" si="197"/>
        <v>1317894.6412638361</v>
      </c>
      <c r="L115" s="39">
        <f t="shared" si="197"/>
        <v>856550.18361458508</v>
      </c>
      <c r="M115" s="32">
        <f t="shared" si="197"/>
        <v>605202.99871497834</v>
      </c>
      <c r="N115" s="32">
        <f t="shared" si="197"/>
        <v>-216353.38506730297</v>
      </c>
      <c r="O115" s="32">
        <f t="shared" si="197"/>
        <v>-140569.93837548071</v>
      </c>
      <c r="P115" s="43">
        <f t="shared" si="197"/>
        <v>3258527.1865697131</v>
      </c>
      <c r="Q115" s="175"/>
      <c r="R115" s="175"/>
      <c r="T115" s="7" t="s">
        <v>200</v>
      </c>
      <c r="U115" s="32">
        <f t="shared" ref="U115:AG115" si="198">U113-U112</f>
        <v>124821.54273139755</v>
      </c>
      <c r="V115" s="32">
        <f t="shared" si="198"/>
        <v>100921.90802574414</v>
      </c>
      <c r="W115" s="32">
        <f t="shared" si="198"/>
        <v>143001.83221787657</v>
      </c>
      <c r="X115" s="32">
        <f t="shared" si="198"/>
        <v>268120.9161141878</v>
      </c>
      <c r="Y115" s="32">
        <f t="shared" si="198"/>
        <v>275385.88574464153</v>
      </c>
      <c r="Z115" s="32">
        <f t="shared" si="198"/>
        <v>171763.97765366174</v>
      </c>
      <c r="AA115" s="32">
        <f t="shared" si="198"/>
        <v>40537.914344281889</v>
      </c>
      <c r="AB115" s="32">
        <f t="shared" si="198"/>
        <v>47185.819506506436</v>
      </c>
      <c r="AC115" s="39">
        <f t="shared" si="198"/>
        <v>211977.55453281291</v>
      </c>
      <c r="AD115" s="32">
        <f t="shared" si="198"/>
        <v>185177.36246885173</v>
      </c>
      <c r="AE115" s="32">
        <f t="shared" si="198"/>
        <v>-50259.407404932426</v>
      </c>
      <c r="AF115" s="32">
        <f t="shared" si="198"/>
        <v>-53638.411984694772</v>
      </c>
      <c r="AG115" s="32">
        <f t="shared" si="198"/>
        <v>1464996.8939503357</v>
      </c>
      <c r="AH115" s="175"/>
      <c r="AJ115" s="7" t="s">
        <v>200</v>
      </c>
      <c r="AK115" s="32">
        <f t="shared" ref="AK115:AW115" si="199">AK113-AK112</f>
        <v>12673.245099544991</v>
      </c>
      <c r="AL115" s="32">
        <f t="shared" si="199"/>
        <v>12447.272382068448</v>
      </c>
      <c r="AM115" s="32">
        <f t="shared" si="199"/>
        <v>15608.665701869177</v>
      </c>
      <c r="AN115" s="32">
        <f t="shared" si="199"/>
        <v>43098.158865792677</v>
      </c>
      <c r="AO115" s="32">
        <f t="shared" si="199"/>
        <v>82334.186434075236</v>
      </c>
      <c r="AP115" s="32">
        <f t="shared" si="199"/>
        <v>-315249.72092219815</v>
      </c>
      <c r="AQ115" s="32">
        <f t="shared" si="199"/>
        <v>-475405.14764064923</v>
      </c>
      <c r="AR115" s="32">
        <f t="shared" si="199"/>
        <v>-370725.57606110629</v>
      </c>
      <c r="AS115" s="39">
        <f t="shared" si="199"/>
        <v>-79635.170815461315</v>
      </c>
      <c r="AT115" s="32">
        <f t="shared" si="199"/>
        <v>52412.597135472577</v>
      </c>
      <c r="AU115" s="32">
        <f t="shared" si="199"/>
        <v>27484.285607855534</v>
      </c>
      <c r="AV115" s="32">
        <f t="shared" si="199"/>
        <v>15379.629504198674</v>
      </c>
      <c r="AW115" s="32">
        <f t="shared" si="199"/>
        <v>-979577.57470853627</v>
      </c>
    </row>
    <row r="116" spans="1:50" s="16" customFormat="1">
      <c r="C116" s="7" t="s">
        <v>201</v>
      </c>
      <c r="D116" s="16">
        <f t="shared" ref="D116:P116" si="200">D115/D111</f>
        <v>-1.0784542941849251</v>
      </c>
      <c r="E116" s="16">
        <f t="shared" si="200"/>
        <v>-0.89573638051400883</v>
      </c>
      <c r="F116" s="16">
        <f t="shared" si="200"/>
        <v>-0.89672436015706114</v>
      </c>
      <c r="G116" s="16">
        <f t="shared" si="200"/>
        <v>0.14815979153011336</v>
      </c>
      <c r="H116" s="16">
        <f t="shared" si="200"/>
        <v>-0.40408837461921804</v>
      </c>
      <c r="I116" s="16">
        <f t="shared" si="200"/>
        <v>0.2237440327496667</v>
      </c>
      <c r="J116" s="16">
        <f t="shared" si="200"/>
        <v>0.91678974123706702</v>
      </c>
      <c r="K116" s="16">
        <f t="shared" si="200"/>
        <v>0.84192234623536777</v>
      </c>
      <c r="L116" s="17">
        <f t="shared" si="200"/>
        <v>1.0633960229885986</v>
      </c>
      <c r="M116" s="16">
        <f t="shared" si="200"/>
        <v>1.0699144597992563</v>
      </c>
      <c r="N116" s="16">
        <f t="shared" si="200"/>
        <v>-0.58135460912085823</v>
      </c>
      <c r="O116" s="16">
        <f t="shared" si="200"/>
        <v>-0.49896312873297216</v>
      </c>
      <c r="P116" s="34">
        <f t="shared" si="200"/>
        <v>0.35003402467436368</v>
      </c>
      <c r="T116" s="7" t="s">
        <v>201</v>
      </c>
      <c r="U116" s="16">
        <f t="shared" ref="U116:AG116" si="201">U115/U111</f>
        <v>0.46420352529769188</v>
      </c>
      <c r="V116" s="16">
        <f t="shared" si="201"/>
        <v>0.37532227578802108</v>
      </c>
      <c r="W116" s="16">
        <f t="shared" si="201"/>
        <v>0.4584361827113318</v>
      </c>
      <c r="X116" s="16">
        <f t="shared" si="201"/>
        <v>0.3974222428135889</v>
      </c>
      <c r="Y116" s="16">
        <f t="shared" si="201"/>
        <v>0.24170268321690069</v>
      </c>
      <c r="Z116" s="16">
        <f t="shared" si="201"/>
        <v>9.8111655775014295E-2</v>
      </c>
      <c r="AA116" s="16">
        <f t="shared" si="201"/>
        <v>2.0985637684711528E-2</v>
      </c>
      <c r="AB116" s="16">
        <f t="shared" si="201"/>
        <v>2.9761839725015365E-2</v>
      </c>
      <c r="AC116" s="17">
        <f t="shared" si="201"/>
        <v>0.16391339394091295</v>
      </c>
      <c r="AD116" s="16">
        <f t="shared" si="201"/>
        <v>0.25106071540558544</v>
      </c>
      <c r="AE116" s="16">
        <f t="shared" si="201"/>
        <v>-0.12079265382842826</v>
      </c>
      <c r="AF116" s="16">
        <f t="shared" si="201"/>
        <v>-0.19853945546127283</v>
      </c>
      <c r="AG116" s="16">
        <f t="shared" si="201"/>
        <v>0.13757611721907609</v>
      </c>
      <c r="AJ116" s="7" t="s">
        <v>201</v>
      </c>
      <c r="AK116" s="16">
        <f t="shared" ref="AK116:AW116" si="202">AK115/AK111</f>
        <v>4.646673767331648E-2</v>
      </c>
      <c r="AL116" s="16">
        <f t="shared" si="202"/>
        <v>4.5638203631574802E-2</v>
      </c>
      <c r="AM116" s="16">
        <f t="shared" si="202"/>
        <v>4.933467000903391E-2</v>
      </c>
      <c r="AN116" s="16">
        <f t="shared" si="202"/>
        <v>6.2989094478898167E-2</v>
      </c>
      <c r="AO116" s="16">
        <f t="shared" si="202"/>
        <v>7.125563777050449E-2</v>
      </c>
      <c r="AP116" s="16">
        <f t="shared" si="202"/>
        <v>-0.17756143633794386</v>
      </c>
      <c r="AQ116" s="16">
        <f t="shared" si="202"/>
        <v>-0.24267847759273375</v>
      </c>
      <c r="AR116" s="16">
        <f t="shared" si="202"/>
        <v>-0.23057184562523297</v>
      </c>
      <c r="AS116" s="17">
        <f t="shared" si="202"/>
        <v>-6.071981114678026E-2</v>
      </c>
      <c r="AT116" s="16">
        <f t="shared" si="202"/>
        <v>7.0067319493648098E-2</v>
      </c>
      <c r="AU116" s="16">
        <f t="shared" si="202"/>
        <v>6.5128685181187418E-2</v>
      </c>
      <c r="AV116" s="16">
        <f t="shared" si="202"/>
        <v>5.6124862596416476E-2</v>
      </c>
      <c r="AW116" s="16">
        <f t="shared" si="202"/>
        <v>-9.0706564916486182E-2</v>
      </c>
    </row>
    <row r="117" spans="1:50" s="99" customFormat="1">
      <c r="A117" s="16"/>
      <c r="B117" s="16"/>
      <c r="C117" s="1"/>
      <c r="D117" s="175">
        <f t="shared" ref="D117:P117" si="203">D115/D113</f>
        <v>-0.28074977432042514</v>
      </c>
      <c r="E117" s="175">
        <f t="shared" si="203"/>
        <v>-0.22490524481033897</v>
      </c>
      <c r="F117" s="129">
        <f t="shared" si="203"/>
        <v>-0.2588246390583947</v>
      </c>
      <c r="G117" s="129">
        <f t="shared" si="203"/>
        <v>3.3672472070711938E-2</v>
      </c>
      <c r="H117" s="129">
        <f t="shared" si="203"/>
        <v>-0.11270696563041625</v>
      </c>
      <c r="I117" s="175">
        <f t="shared" si="203"/>
        <v>5.545872126733243E-2</v>
      </c>
      <c r="J117" s="129">
        <f t="shared" si="203"/>
        <v>0.20766607635215223</v>
      </c>
      <c r="K117" s="175">
        <f t="shared" si="203"/>
        <v>0.21663351676812997</v>
      </c>
      <c r="L117" s="129">
        <f t="shared" si="203"/>
        <v>0.27629744670507356</v>
      </c>
      <c r="M117" s="175">
        <f t="shared" si="203"/>
        <v>0.29965916052973673</v>
      </c>
      <c r="N117" s="175">
        <f t="shared" si="203"/>
        <v>-0.33295510435890757</v>
      </c>
      <c r="O117" s="175">
        <f t="shared" si="203"/>
        <v>-0.22006062493504369</v>
      </c>
      <c r="P117" s="171">
        <f t="shared" si="203"/>
        <v>9.119647772480946E-2</v>
      </c>
      <c r="Q117" s="16"/>
      <c r="R117" s="16"/>
      <c r="S117" s="16"/>
      <c r="T117" s="1"/>
      <c r="U117" s="175">
        <f t="shared" ref="U117:AG117" si="204">U115/U113</f>
        <v>0.12837854788988964</v>
      </c>
      <c r="V117" s="175">
        <f t="shared" si="204"/>
        <v>9.6984701690592937E-2</v>
      </c>
      <c r="W117" s="175">
        <f t="shared" si="204"/>
        <v>0.11613501864384908</v>
      </c>
      <c r="X117" s="175">
        <f t="shared" si="204"/>
        <v>0.10205370824169828</v>
      </c>
      <c r="Y117" s="175">
        <f t="shared" si="204"/>
        <v>6.2127519273838139E-2</v>
      </c>
      <c r="Z117" s="175">
        <f t="shared" si="204"/>
        <v>2.4491390796492308E-2</v>
      </c>
      <c r="AA117" s="175">
        <f t="shared" si="204"/>
        <v>5.1510635707115067E-3</v>
      </c>
      <c r="AB117" s="175">
        <f t="shared" si="204"/>
        <v>7.2775919507366655E-3</v>
      </c>
      <c r="AC117" s="129">
        <f t="shared" si="204"/>
        <v>3.9244167641861283E-2</v>
      </c>
      <c r="AD117" s="175">
        <f t="shared" si="204"/>
        <v>5.9472454986086096E-2</v>
      </c>
      <c r="AE117" s="175">
        <f t="shared" si="204"/>
        <v>-3.1214883285968855E-2</v>
      </c>
      <c r="AF117" s="175">
        <f t="shared" si="204"/>
        <v>-5.1823646613579959E-2</v>
      </c>
      <c r="AG117" s="175">
        <f t="shared" si="204"/>
        <v>3.4204013454162893E-2</v>
      </c>
      <c r="AJ117" s="1"/>
      <c r="AK117" s="175">
        <f t="shared" ref="AK117:AW117" si="205">AK115/AK113</f>
        <v>1.1264089706323898E-2</v>
      </c>
      <c r="AL117" s="175">
        <f t="shared" si="205"/>
        <v>1.0996969325142566E-2</v>
      </c>
      <c r="AM117" s="175">
        <f t="shared" si="205"/>
        <v>1.1861142928462057E-2</v>
      </c>
      <c r="AN117" s="175">
        <f t="shared" si="205"/>
        <v>1.4958290673885075E-2</v>
      </c>
      <c r="AO117" s="175">
        <f t="shared" si="205"/>
        <v>1.6393500720658694E-2</v>
      </c>
      <c r="AP117" s="175">
        <f t="shared" si="205"/>
        <v>-4.1027644270342764E-2</v>
      </c>
      <c r="AQ117" s="175">
        <f t="shared" si="205"/>
        <v>-5.5307203933854722E-2</v>
      </c>
      <c r="AR117" s="175">
        <f t="shared" si="205"/>
        <v>-5.268432865684404E-2</v>
      </c>
      <c r="AS117" s="129">
        <f t="shared" si="205"/>
        <v>-1.3592885288761165E-2</v>
      </c>
      <c r="AT117" s="175">
        <f t="shared" si="205"/>
        <v>1.582354129955614E-2</v>
      </c>
      <c r="AU117" s="175">
        <f t="shared" si="205"/>
        <v>1.4661714492598637E-2</v>
      </c>
      <c r="AV117" s="175">
        <f t="shared" si="205"/>
        <v>1.258119678589815E-2</v>
      </c>
      <c r="AW117" s="175">
        <f t="shared" si="205"/>
        <v>-2.0815187859277495E-2</v>
      </c>
      <c r="AX117" s="16"/>
    </row>
    <row r="120" spans="1:50">
      <c r="C120" s="1" t="s">
        <v>373</v>
      </c>
      <c r="D120" s="16">
        <f>+'GAS '!C92</f>
        <v>4.5998082547336763</v>
      </c>
      <c r="E120" s="16">
        <f>+'GAS '!D92</f>
        <v>4.6107033534845971</v>
      </c>
      <c r="F120" s="16">
        <f>+'GAS '!E92</f>
        <v>4.158909840466845</v>
      </c>
      <c r="G120" s="16">
        <f>+'GAS '!F92</f>
        <v>4.0640439569807336</v>
      </c>
      <c r="H120" s="16">
        <f>+'GAS '!G92</f>
        <v>3.7837582158539314</v>
      </c>
      <c r="I120" s="16">
        <f>+'GAS '!H92</f>
        <v>3.7422256389940372</v>
      </c>
      <c r="J120" s="16">
        <f>+'GAS '!I92</f>
        <v>3.5149748448090028</v>
      </c>
    </row>
    <row r="121" spans="1:50">
      <c r="C121" s="1" t="s">
        <v>374</v>
      </c>
      <c r="D121" s="29">
        <f t="shared" ref="D121:J121" si="206">D120-D104</f>
        <v>-0.31998232118255476</v>
      </c>
      <c r="E121" s="29">
        <f t="shared" si="206"/>
        <v>-0.26776086990109338</v>
      </c>
      <c r="F121" s="29">
        <f t="shared" si="206"/>
        <v>-0.20241651206369671</v>
      </c>
      <c r="G121" s="29">
        <f t="shared" si="206"/>
        <v>-0.18782340776621265</v>
      </c>
      <c r="H121" s="29">
        <f t="shared" si="206"/>
        <v>-0.20563096390174085</v>
      </c>
      <c r="I121" s="29">
        <f t="shared" si="206"/>
        <v>-6.8454989278214029E-2</v>
      </c>
      <c r="J121" s="29">
        <f t="shared" si="206"/>
        <v>1.7034181632737511E-2</v>
      </c>
    </row>
    <row r="122" spans="1:50">
      <c r="D122" s="29"/>
      <c r="E122" s="29"/>
      <c r="F122" s="29"/>
      <c r="G122" s="29"/>
      <c r="H122" s="29"/>
      <c r="I122" s="29"/>
      <c r="J122" s="29"/>
    </row>
    <row r="123" spans="1:50">
      <c r="C123" s="346"/>
      <c r="D123" s="165"/>
      <c r="E123" s="165"/>
      <c r="F123" s="165"/>
      <c r="G123" s="165"/>
      <c r="H123" s="165"/>
      <c r="I123" s="165"/>
      <c r="J123" s="165"/>
      <c r="K123" s="165"/>
      <c r="L123" s="165"/>
      <c r="M123" s="165"/>
      <c r="N123" s="165"/>
      <c r="O123" s="165"/>
    </row>
    <row r="125" spans="1:50" ht="21" thickBot="1">
      <c r="C125" s="33" t="s">
        <v>887</v>
      </c>
    </row>
    <row r="126" spans="1:50" s="33" customFormat="1" ht="21" thickBot="1">
      <c r="A126" s="11"/>
      <c r="B126" s="11"/>
      <c r="C126" s="244" t="s">
        <v>584</v>
      </c>
      <c r="D126" s="289">
        <f>+D9</f>
        <v>40725</v>
      </c>
      <c r="E126" s="289">
        <f t="shared" ref="E126:O126" si="207">+E9</f>
        <v>40756</v>
      </c>
      <c r="F126" s="289">
        <f t="shared" si="207"/>
        <v>40787</v>
      </c>
      <c r="G126" s="289">
        <f t="shared" si="207"/>
        <v>40817</v>
      </c>
      <c r="H126" s="289">
        <f t="shared" si="207"/>
        <v>40848</v>
      </c>
      <c r="I126" s="289">
        <f t="shared" si="207"/>
        <v>40878</v>
      </c>
      <c r="J126" s="289">
        <f t="shared" si="207"/>
        <v>40909</v>
      </c>
      <c r="K126" s="289">
        <f t="shared" si="207"/>
        <v>40940</v>
      </c>
      <c r="L126" s="289">
        <f t="shared" si="207"/>
        <v>40969</v>
      </c>
      <c r="M126" s="289">
        <f t="shared" si="207"/>
        <v>41000</v>
      </c>
      <c r="N126" s="289">
        <f t="shared" si="207"/>
        <v>41030</v>
      </c>
      <c r="O126" s="290">
        <f t="shared" si="207"/>
        <v>41061</v>
      </c>
      <c r="Q126" s="11"/>
      <c r="R126" s="11"/>
      <c r="S126" s="11"/>
      <c r="AX126" s="11"/>
    </row>
    <row r="127" spans="1:50" s="16" customFormat="1">
      <c r="C127" s="235" t="s">
        <v>155</v>
      </c>
      <c r="D127" s="236">
        <f>D77</f>
        <v>6.5</v>
      </c>
      <c r="E127" s="236">
        <f t="shared" ref="E127:O127" si="208">E77</f>
        <v>6.5</v>
      </c>
      <c r="F127" s="236">
        <f t="shared" si="208"/>
        <v>6.5</v>
      </c>
      <c r="G127" s="236">
        <f t="shared" si="208"/>
        <v>6.5</v>
      </c>
      <c r="H127" s="236">
        <f t="shared" si="208"/>
        <v>6.5</v>
      </c>
      <c r="I127" s="236">
        <f t="shared" si="208"/>
        <v>6</v>
      </c>
      <c r="J127" s="236">
        <f t="shared" si="208"/>
        <v>6</v>
      </c>
      <c r="K127" s="236">
        <f t="shared" si="208"/>
        <v>6</v>
      </c>
      <c r="L127" s="236">
        <f t="shared" si="208"/>
        <v>5</v>
      </c>
      <c r="M127" s="236">
        <f t="shared" si="208"/>
        <v>5</v>
      </c>
      <c r="N127" s="236">
        <f t="shared" si="208"/>
        <v>5</v>
      </c>
      <c r="O127" s="237">
        <f t="shared" si="208"/>
        <v>5</v>
      </c>
      <c r="P127" s="34"/>
    </row>
    <row r="128" spans="1:50" s="110" customFormat="1">
      <c r="A128" s="30"/>
      <c r="B128" s="30"/>
      <c r="C128" s="238" t="s">
        <v>475</v>
      </c>
      <c r="D128" s="234">
        <f>D90</f>
        <v>-1016555.1776107694</v>
      </c>
      <c r="E128" s="234">
        <f t="shared" ref="E128:O128" si="209">E90</f>
        <v>-951181.70518304151</v>
      </c>
      <c r="F128" s="234">
        <f t="shared" si="209"/>
        <v>-585392.68117882684</v>
      </c>
      <c r="G128" s="234">
        <f t="shared" si="209"/>
        <v>-507818.31539450912</v>
      </c>
      <c r="H128" s="234">
        <f t="shared" si="209"/>
        <v>1361303.9760453757</v>
      </c>
      <c r="I128" s="234">
        <f t="shared" si="209"/>
        <v>1302925.561980023</v>
      </c>
      <c r="J128" s="234">
        <f t="shared" si="209"/>
        <v>1029907.134814702</v>
      </c>
      <c r="K128" s="234">
        <f t="shared" si="209"/>
        <v>1558406.8251834596</v>
      </c>
      <c r="L128" s="234">
        <f t="shared" si="209"/>
        <v>-818360.52565071126</v>
      </c>
      <c r="M128" s="234">
        <f t="shared" si="209"/>
        <v>-828358.49882701971</v>
      </c>
      <c r="N128" s="234">
        <f t="shared" si="209"/>
        <v>-428268.6632960476</v>
      </c>
      <c r="O128" s="239">
        <f t="shared" si="209"/>
        <v>-813244.0679739085</v>
      </c>
      <c r="P128" s="233"/>
      <c r="Q128" s="30"/>
      <c r="R128" s="30"/>
      <c r="S128" s="30"/>
      <c r="AX128" s="30"/>
    </row>
    <row r="129" spans="1:50" s="110" customFormat="1">
      <c r="A129" s="30"/>
      <c r="B129" s="30"/>
      <c r="C129" s="238" t="s">
        <v>78</v>
      </c>
      <c r="D129" s="234">
        <f>D91</f>
        <v>7341673.7705199048</v>
      </c>
      <c r="E129" s="234">
        <f t="shared" ref="E129:O129" si="210">E91</f>
        <v>6390492.0653368635</v>
      </c>
      <c r="F129" s="234">
        <f t="shared" si="210"/>
        <v>5805099.3841580367</v>
      </c>
      <c r="G129" s="234">
        <f t="shared" si="210"/>
        <v>5297281.068763528</v>
      </c>
      <c r="H129" s="234">
        <f t="shared" si="210"/>
        <v>6658585.0448089037</v>
      </c>
      <c r="I129" s="234">
        <f t="shared" si="210"/>
        <v>7961510.6067889268</v>
      </c>
      <c r="J129" s="234">
        <f t="shared" si="210"/>
        <v>8991417.7416036278</v>
      </c>
      <c r="K129" s="234">
        <f t="shared" si="210"/>
        <v>10549824.566787086</v>
      </c>
      <c r="L129" s="234">
        <f t="shared" si="210"/>
        <v>9731464.0411363747</v>
      </c>
      <c r="M129" s="234">
        <f t="shared" si="210"/>
        <v>8903105.542309355</v>
      </c>
      <c r="N129" s="234">
        <f t="shared" si="210"/>
        <v>8474836.8790133074</v>
      </c>
      <c r="O129" s="239">
        <f t="shared" si="210"/>
        <v>7661592.8110393994</v>
      </c>
      <c r="P129" s="233"/>
      <c r="Q129" s="30"/>
      <c r="R129" s="30"/>
      <c r="S129" s="30"/>
      <c r="AX129" s="30"/>
    </row>
    <row r="130" spans="1:50" s="103" customFormat="1" ht="21" thickBot="1">
      <c r="A130" s="124"/>
      <c r="B130" s="124"/>
      <c r="C130" s="324" t="s">
        <v>721</v>
      </c>
      <c r="D130" s="302">
        <f>D92</f>
        <v>0.13868595925770869</v>
      </c>
      <c r="E130" s="302">
        <f t="shared" ref="E130:O130" si="211">E92</f>
        <v>0.1207179111892433</v>
      </c>
      <c r="F130" s="302">
        <f t="shared" si="211"/>
        <v>0.10965970456370178</v>
      </c>
      <c r="G130" s="302">
        <f t="shared" si="211"/>
        <v>0.10006689611150414</v>
      </c>
      <c r="H130" s="302">
        <f t="shared" si="211"/>
        <v>0.12578225117362593</v>
      </c>
      <c r="I130" s="302">
        <f t="shared" si="211"/>
        <v>0.15039482414440675</v>
      </c>
      <c r="J130" s="302">
        <f t="shared" si="211"/>
        <v>0.16985001425536972</v>
      </c>
      <c r="K130" s="302">
        <f t="shared" si="211"/>
        <v>0.19928868889822612</v>
      </c>
      <c r="L130" s="302">
        <f t="shared" si="211"/>
        <v>0.18382966442151277</v>
      </c>
      <c r="M130" s="302">
        <f t="shared" si="211"/>
        <v>0.1681817758595881</v>
      </c>
      <c r="N130" s="302">
        <f t="shared" si="211"/>
        <v>0.16009167920782377</v>
      </c>
      <c r="O130" s="303">
        <f t="shared" si="211"/>
        <v>0.14472930583044941</v>
      </c>
      <c r="P130" s="201"/>
      <c r="Q130" s="124"/>
      <c r="R130" s="124"/>
      <c r="S130" s="124"/>
      <c r="AX130" s="124"/>
    </row>
    <row r="132" spans="1:50"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</row>
    <row r="133" spans="1:50" ht="21" thickBot="1">
      <c r="C133" s="33" t="s">
        <v>909</v>
      </c>
    </row>
    <row r="134" spans="1:50" ht="21" thickBot="1">
      <c r="C134" s="244" t="s">
        <v>584</v>
      </c>
      <c r="D134" s="289">
        <f>U9</f>
        <v>41091</v>
      </c>
      <c r="E134" s="289">
        <f t="shared" ref="E134:O134" si="212">V9</f>
        <v>41122</v>
      </c>
      <c r="F134" s="289">
        <f t="shared" si="212"/>
        <v>41153</v>
      </c>
      <c r="G134" s="289">
        <f t="shared" si="212"/>
        <v>41183</v>
      </c>
      <c r="H134" s="289">
        <f t="shared" si="212"/>
        <v>41214</v>
      </c>
      <c r="I134" s="289">
        <f t="shared" si="212"/>
        <v>41244</v>
      </c>
      <c r="J134" s="289">
        <f t="shared" si="212"/>
        <v>41275</v>
      </c>
      <c r="K134" s="289">
        <f t="shared" si="212"/>
        <v>41306</v>
      </c>
      <c r="L134" s="289">
        <f t="shared" si="212"/>
        <v>41334</v>
      </c>
      <c r="M134" s="289">
        <f t="shared" si="212"/>
        <v>41365</v>
      </c>
      <c r="N134" s="289">
        <f t="shared" si="212"/>
        <v>41395</v>
      </c>
      <c r="O134" s="290">
        <f t="shared" si="212"/>
        <v>41426</v>
      </c>
    </row>
    <row r="135" spans="1:50">
      <c r="C135" s="235" t="s">
        <v>155</v>
      </c>
      <c r="D135" s="236">
        <f>U77</f>
        <v>5</v>
      </c>
      <c r="E135" s="236">
        <f t="shared" ref="E135:O135" si="213">V77</f>
        <v>5</v>
      </c>
      <c r="F135" s="236">
        <f t="shared" si="213"/>
        <v>5</v>
      </c>
      <c r="G135" s="236">
        <f t="shared" si="213"/>
        <v>5</v>
      </c>
      <c r="H135" s="236">
        <f t="shared" si="213"/>
        <v>5</v>
      </c>
      <c r="I135" s="236">
        <f t="shared" si="213"/>
        <v>5</v>
      </c>
      <c r="J135" s="236">
        <f t="shared" si="213"/>
        <v>5</v>
      </c>
      <c r="K135" s="236">
        <f t="shared" si="213"/>
        <v>5</v>
      </c>
      <c r="L135" s="236">
        <f t="shared" si="213"/>
        <v>5</v>
      </c>
      <c r="M135" s="236">
        <f t="shared" si="213"/>
        <v>5</v>
      </c>
      <c r="N135" s="236">
        <f t="shared" si="213"/>
        <v>5</v>
      </c>
      <c r="O135" s="237">
        <f t="shared" si="213"/>
        <v>5</v>
      </c>
    </row>
    <row r="136" spans="1:50">
      <c r="C136" s="238" t="s">
        <v>475</v>
      </c>
      <c r="D136" s="234">
        <f>U90</f>
        <v>-1260864.299708012</v>
      </c>
      <c r="E136" s="234">
        <f t="shared" ref="E136:O136" si="214">V90</f>
        <v>-1349167.6198365646</v>
      </c>
      <c r="F136" s="234">
        <f t="shared" si="214"/>
        <v>-1208018.5325801801</v>
      </c>
      <c r="G136" s="234">
        <f t="shared" si="214"/>
        <v>-928510.41994944075</v>
      </c>
      <c r="H136" s="234">
        <f t="shared" si="214"/>
        <v>-475991.07882945798</v>
      </c>
      <c r="I136" s="234">
        <f t="shared" si="214"/>
        <v>-36093.233879840001</v>
      </c>
      <c r="J136" s="234">
        <f t="shared" si="214"/>
        <v>-6887.3667659219354</v>
      </c>
      <c r="K136" s="234">
        <f t="shared" si="214"/>
        <v>-311496.40145694371</v>
      </c>
      <c r="L136" s="234">
        <f t="shared" si="214"/>
        <v>-703146.67470314354</v>
      </c>
      <c r="M136" s="234">
        <f t="shared" si="214"/>
        <v>-1062297.3254489568</v>
      </c>
      <c r="N136" s="234">
        <f t="shared" si="214"/>
        <v>-1163376.1952959402</v>
      </c>
      <c r="O136" s="239">
        <f t="shared" si="214"/>
        <v>-1306106.4960215879</v>
      </c>
    </row>
    <row r="137" spans="1:50">
      <c r="C137" s="238" t="s">
        <v>78</v>
      </c>
      <c r="D137" s="234">
        <f>U91</f>
        <v>6400728.5113313869</v>
      </c>
      <c r="E137" s="234">
        <f t="shared" ref="E137:O137" si="215">V91</f>
        <v>5051560.8914948218</v>
      </c>
      <c r="F137" s="234">
        <f t="shared" si="215"/>
        <v>3843542.3589146417</v>
      </c>
      <c r="G137" s="234">
        <f t="shared" si="215"/>
        <v>2915031.9389652009</v>
      </c>
      <c r="H137" s="234">
        <f t="shared" si="215"/>
        <v>2439040.8601357429</v>
      </c>
      <c r="I137" s="234">
        <f t="shared" si="215"/>
        <v>2402947.6262559029</v>
      </c>
      <c r="J137" s="234">
        <f t="shared" si="215"/>
        <v>2396060.259489981</v>
      </c>
      <c r="K137" s="234">
        <f t="shared" si="215"/>
        <v>2084563.8580330373</v>
      </c>
      <c r="L137" s="234">
        <f t="shared" si="215"/>
        <v>1381417.1833298937</v>
      </c>
      <c r="M137" s="234">
        <f t="shared" si="215"/>
        <v>319119.85788093694</v>
      </c>
      <c r="N137" s="234">
        <f t="shared" si="215"/>
        <v>-844256.33741500322</v>
      </c>
      <c r="O137" s="239">
        <f t="shared" si="215"/>
        <v>-2150362.8334365911</v>
      </c>
    </row>
    <row r="138" spans="1:50" ht="21" thickBot="1">
      <c r="C138" s="291" t="s">
        <v>721</v>
      </c>
      <c r="D138" s="302">
        <f>U92</f>
        <v>0.10617674371219338</v>
      </c>
      <c r="E138" s="302">
        <f t="shared" ref="E138:O138" si="216">V92</f>
        <v>8.3796443666256881E-2</v>
      </c>
      <c r="F138" s="302">
        <f t="shared" si="216"/>
        <v>6.3757556857313602E-2</v>
      </c>
      <c r="G138" s="302">
        <f t="shared" si="216"/>
        <v>4.8355214339810638E-2</v>
      </c>
      <c r="H138" s="302">
        <f t="shared" si="216"/>
        <v>4.0459365813085145E-2</v>
      </c>
      <c r="I138" s="302">
        <f t="shared" si="216"/>
        <v>3.9860643021356099E-2</v>
      </c>
      <c r="J138" s="302">
        <f t="shared" si="216"/>
        <v>3.9746393811338432E-2</v>
      </c>
      <c r="K138" s="302">
        <f t="shared" si="216"/>
        <v>3.4579220492518055E-2</v>
      </c>
      <c r="L138" s="302">
        <f t="shared" si="216"/>
        <v>2.2915263157057275E-2</v>
      </c>
      <c r="M138" s="302">
        <f t="shared" si="216"/>
        <v>5.2936329518915876E-3</v>
      </c>
      <c r="N138" s="302">
        <f t="shared" si="216"/>
        <v>-1.4004716589121847E-2</v>
      </c>
      <c r="O138" s="303">
        <f t="shared" si="216"/>
        <v>-3.5670708896623923E-2</v>
      </c>
    </row>
    <row r="141" spans="1:50" ht="21" thickBot="1">
      <c r="C141" s="33" t="s">
        <v>915</v>
      </c>
    </row>
    <row r="142" spans="1:50" ht="21" thickBot="1">
      <c r="C142" s="244" t="s">
        <v>584</v>
      </c>
      <c r="D142" s="289">
        <f>+AK9</f>
        <v>41456</v>
      </c>
      <c r="E142" s="289">
        <f t="shared" ref="E142:O142" si="217">+AL9</f>
        <v>41487</v>
      </c>
      <c r="F142" s="289">
        <f t="shared" si="217"/>
        <v>41518</v>
      </c>
      <c r="G142" s="289">
        <f t="shared" si="217"/>
        <v>41548</v>
      </c>
      <c r="H142" s="289">
        <f t="shared" si="217"/>
        <v>41579</v>
      </c>
      <c r="I142" s="289">
        <f t="shared" si="217"/>
        <v>41609</v>
      </c>
      <c r="J142" s="289">
        <f t="shared" si="217"/>
        <v>41640</v>
      </c>
      <c r="K142" s="289">
        <f t="shared" si="217"/>
        <v>41671</v>
      </c>
      <c r="L142" s="289">
        <f t="shared" si="217"/>
        <v>41699</v>
      </c>
      <c r="M142" s="289">
        <f t="shared" si="217"/>
        <v>41730</v>
      </c>
      <c r="N142" s="289">
        <f t="shared" si="217"/>
        <v>41760</v>
      </c>
      <c r="O142" s="290">
        <f t="shared" si="217"/>
        <v>41791</v>
      </c>
    </row>
    <row r="143" spans="1:50">
      <c r="C143" s="235" t="s">
        <v>155</v>
      </c>
      <c r="D143" s="236">
        <f>+AK77</f>
        <v>5</v>
      </c>
      <c r="E143" s="236">
        <f t="shared" ref="E143:O143" si="218">+AL77</f>
        <v>5</v>
      </c>
      <c r="F143" s="236">
        <f t="shared" si="218"/>
        <v>5</v>
      </c>
      <c r="G143" s="236">
        <f t="shared" si="218"/>
        <v>5</v>
      </c>
      <c r="H143" s="236">
        <f t="shared" si="218"/>
        <v>5</v>
      </c>
      <c r="I143" s="236">
        <f t="shared" si="218"/>
        <v>5</v>
      </c>
      <c r="J143" s="236">
        <f t="shared" si="218"/>
        <v>5</v>
      </c>
      <c r="K143" s="236">
        <f t="shared" si="218"/>
        <v>5</v>
      </c>
      <c r="L143" s="236">
        <f t="shared" si="218"/>
        <v>5</v>
      </c>
      <c r="M143" s="236">
        <f t="shared" si="218"/>
        <v>5</v>
      </c>
      <c r="N143" s="236">
        <f t="shared" si="218"/>
        <v>5</v>
      </c>
      <c r="O143" s="237">
        <f t="shared" si="218"/>
        <v>5</v>
      </c>
    </row>
    <row r="144" spans="1:50">
      <c r="C144" s="238" t="s">
        <v>475</v>
      </c>
      <c r="D144" s="234">
        <f>+AK90</f>
        <v>-1394453.0388649902</v>
      </c>
      <c r="E144" s="234">
        <f t="shared" ref="E144:O144" si="219">+AL90</f>
        <v>-1421233.5292539708</v>
      </c>
      <c r="F144" s="234">
        <f t="shared" si="219"/>
        <v>-1270380.3914254294</v>
      </c>
      <c r="G144" s="234">
        <f t="shared" si="219"/>
        <v>-1134648.5512874331</v>
      </c>
      <c r="H144" s="234">
        <f t="shared" si="219"/>
        <v>-985177.10460789874</v>
      </c>
      <c r="I144" s="234">
        <f t="shared" si="219"/>
        <v>-582984.71392527036</v>
      </c>
      <c r="J144" s="234">
        <f t="shared" si="219"/>
        <v>-596322.29937784746</v>
      </c>
      <c r="K144" s="234">
        <f t="shared" si="219"/>
        <v>-752487.79913540278</v>
      </c>
      <c r="L144" s="234">
        <f t="shared" si="219"/>
        <v>-1068785.3940494601</v>
      </c>
      <c r="M144" s="234">
        <f t="shared" si="219"/>
        <v>-1208689.0778119131</v>
      </c>
      <c r="N144" s="234">
        <f t="shared" si="219"/>
        <v>-1398228.827750264</v>
      </c>
      <c r="O144" s="239">
        <f t="shared" si="219"/>
        <v>-1474216.922065455</v>
      </c>
    </row>
    <row r="145" spans="3:15">
      <c r="C145" s="238" t="s">
        <v>78</v>
      </c>
      <c r="D145" s="234">
        <f>+AK91</f>
        <v>-3544815.8723015813</v>
      </c>
      <c r="E145" s="234">
        <f t="shared" ref="E145:O145" si="220">+AL91</f>
        <v>-4966049.4015555521</v>
      </c>
      <c r="F145" s="234">
        <f t="shared" si="220"/>
        <v>-6236429.792980982</v>
      </c>
      <c r="G145" s="234">
        <f t="shared" si="220"/>
        <v>-7371078.3442684151</v>
      </c>
      <c r="H145" s="234">
        <f t="shared" si="220"/>
        <v>-8356255.4488763139</v>
      </c>
      <c r="I145" s="234">
        <f t="shared" si="220"/>
        <v>-8939240.1628015842</v>
      </c>
      <c r="J145" s="234">
        <f t="shared" si="220"/>
        <v>-9535562.4621794317</v>
      </c>
      <c r="K145" s="234">
        <f t="shared" si="220"/>
        <v>-10288050.261314835</v>
      </c>
      <c r="L145" s="234">
        <f t="shared" si="220"/>
        <v>-11356835.655364295</v>
      </c>
      <c r="M145" s="234">
        <f t="shared" si="220"/>
        <v>-12565524.733176209</v>
      </c>
      <c r="N145" s="234">
        <f t="shared" si="220"/>
        <v>-13963753.560926473</v>
      </c>
      <c r="O145" s="239">
        <f t="shared" si="220"/>
        <v>-15437970.482991928</v>
      </c>
    </row>
    <row r="146" spans="3:15" ht="21" thickBot="1">
      <c r="C146" s="291" t="s">
        <v>721</v>
      </c>
      <c r="D146" s="302">
        <f>+AK92</f>
        <v>-5.494706646213391E-2</v>
      </c>
      <c r="E146" s="302">
        <f t="shared" ref="E146:O146" si="221">+AL92</f>
        <v>-7.697715660033537E-2</v>
      </c>
      <c r="F146" s="302">
        <f t="shared" si="221"/>
        <v>-9.6668920097919414E-2</v>
      </c>
      <c r="G146" s="302">
        <f t="shared" si="221"/>
        <v>-0.11425674739408719</v>
      </c>
      <c r="H146" s="302">
        <f t="shared" si="221"/>
        <v>-0.12952766520588191</v>
      </c>
      <c r="I146" s="302">
        <f t="shared" si="221"/>
        <v>-0.13856432634045907</v>
      </c>
      <c r="J146" s="302">
        <f t="shared" si="221"/>
        <v>-0.14780772915660947</v>
      </c>
      <c r="K146" s="302">
        <f t="shared" si="221"/>
        <v>-0.15947180385061949</v>
      </c>
      <c r="L146" s="302">
        <f t="shared" si="221"/>
        <v>-0.17603870723746975</v>
      </c>
      <c r="M146" s="302">
        <f t="shared" si="221"/>
        <v>-0.19477421325049868</v>
      </c>
      <c r="N146" s="302">
        <f t="shared" si="221"/>
        <v>-0.21644771480751523</v>
      </c>
      <c r="O146" s="303">
        <f t="shared" si="221"/>
        <v>-0.23929908371197084</v>
      </c>
    </row>
    <row r="152" spans="3:15" ht="21" thickBot="1">
      <c r="C152" s="33" t="s">
        <v>887</v>
      </c>
    </row>
    <row r="153" spans="3:15" ht="21" thickBot="1">
      <c r="C153" s="244" t="s">
        <v>584</v>
      </c>
      <c r="D153" s="289">
        <f>D126</f>
        <v>40725</v>
      </c>
      <c r="E153" s="289">
        <f t="shared" ref="E153:O153" si="222">E126</f>
        <v>40756</v>
      </c>
      <c r="F153" s="289">
        <f t="shared" si="222"/>
        <v>40787</v>
      </c>
      <c r="G153" s="289">
        <f t="shared" si="222"/>
        <v>40817</v>
      </c>
      <c r="H153" s="289">
        <f t="shared" si="222"/>
        <v>40848</v>
      </c>
      <c r="I153" s="289">
        <f t="shared" si="222"/>
        <v>40878</v>
      </c>
      <c r="J153" s="289">
        <f t="shared" si="222"/>
        <v>40909</v>
      </c>
      <c r="K153" s="289">
        <f t="shared" si="222"/>
        <v>40940</v>
      </c>
      <c r="L153" s="289">
        <f t="shared" si="222"/>
        <v>40969</v>
      </c>
      <c r="M153" s="289">
        <f t="shared" si="222"/>
        <v>41000</v>
      </c>
      <c r="N153" s="289">
        <f t="shared" si="222"/>
        <v>41030</v>
      </c>
      <c r="O153" s="290">
        <f t="shared" si="222"/>
        <v>41061</v>
      </c>
    </row>
    <row r="154" spans="3:15">
      <c r="C154" s="235" t="s">
        <v>155</v>
      </c>
      <c r="D154" s="236">
        <f>D127</f>
        <v>6.5</v>
      </c>
      <c r="E154" s="236">
        <f t="shared" ref="E154:O154" si="223">E127</f>
        <v>6.5</v>
      </c>
      <c r="F154" s="236">
        <f t="shared" si="223"/>
        <v>6.5</v>
      </c>
      <c r="G154" s="236">
        <f t="shared" si="223"/>
        <v>6.5</v>
      </c>
      <c r="H154" s="236">
        <f t="shared" si="223"/>
        <v>6.5</v>
      </c>
      <c r="I154" s="236">
        <f t="shared" si="223"/>
        <v>6</v>
      </c>
      <c r="J154" s="236">
        <f t="shared" si="223"/>
        <v>6</v>
      </c>
      <c r="K154" s="236">
        <f t="shared" si="223"/>
        <v>6</v>
      </c>
      <c r="L154" s="236">
        <f t="shared" si="223"/>
        <v>5</v>
      </c>
      <c r="M154" s="236">
        <f t="shared" si="223"/>
        <v>5</v>
      </c>
      <c r="N154" s="236">
        <f t="shared" si="223"/>
        <v>5</v>
      </c>
      <c r="O154" s="237">
        <f t="shared" si="223"/>
        <v>5</v>
      </c>
    </row>
    <row r="155" spans="3:15">
      <c r="C155" s="238" t="s">
        <v>974</v>
      </c>
      <c r="D155" s="480">
        <f>D128/$C$2</f>
        <v>-1.0165551776107693</v>
      </c>
      <c r="E155" s="480">
        <f t="shared" ref="E155:O155" si="224">E128/$C$2</f>
        <v>-0.95118170518304157</v>
      </c>
      <c r="F155" s="480">
        <f t="shared" si="224"/>
        <v>-0.58539268117882681</v>
      </c>
      <c r="G155" s="480">
        <f t="shared" si="224"/>
        <v>-0.50781831539450917</v>
      </c>
      <c r="H155" s="480">
        <f t="shared" si="224"/>
        <v>1.3613039760453758</v>
      </c>
      <c r="I155" s="480">
        <f t="shared" si="224"/>
        <v>1.3029255619800231</v>
      </c>
      <c r="J155" s="480">
        <f t="shared" si="224"/>
        <v>1.029907134814702</v>
      </c>
      <c r="K155" s="480">
        <f t="shared" si="224"/>
        <v>1.5584068251834595</v>
      </c>
      <c r="L155" s="480">
        <f t="shared" si="224"/>
        <v>-0.81836052565071127</v>
      </c>
      <c r="M155" s="480">
        <f t="shared" si="224"/>
        <v>-0.82835849882701973</v>
      </c>
      <c r="N155" s="480">
        <f t="shared" si="224"/>
        <v>-0.42826866329604762</v>
      </c>
      <c r="O155" s="481">
        <f t="shared" si="224"/>
        <v>-0.81324406797390847</v>
      </c>
    </row>
    <row r="156" spans="3:15">
      <c r="C156" s="238" t="s">
        <v>975</v>
      </c>
      <c r="D156" s="480">
        <f>D129/$C$2</f>
        <v>7.3416737705199049</v>
      </c>
      <c r="E156" s="480">
        <f t="shared" ref="E156:O156" si="225">E129/$C$2</f>
        <v>6.3904920653368631</v>
      </c>
      <c r="F156" s="480">
        <f t="shared" si="225"/>
        <v>5.8050993841580363</v>
      </c>
      <c r="G156" s="480">
        <f t="shared" si="225"/>
        <v>5.2972810687635281</v>
      </c>
      <c r="H156" s="480">
        <f t="shared" si="225"/>
        <v>6.6585850448089037</v>
      </c>
      <c r="I156" s="480">
        <f t="shared" si="225"/>
        <v>7.9615106067889272</v>
      </c>
      <c r="J156" s="480">
        <f t="shared" si="225"/>
        <v>8.9914177416036285</v>
      </c>
      <c r="K156" s="480">
        <f t="shared" si="225"/>
        <v>10.549824566787086</v>
      </c>
      <c r="L156" s="480">
        <f t="shared" si="225"/>
        <v>9.7314640411363751</v>
      </c>
      <c r="M156" s="480">
        <f t="shared" si="225"/>
        <v>8.9031055423093548</v>
      </c>
      <c r="N156" s="480">
        <f t="shared" si="225"/>
        <v>8.4748368790133082</v>
      </c>
      <c r="O156" s="481">
        <f t="shared" si="225"/>
        <v>7.6615928110393989</v>
      </c>
    </row>
    <row r="157" spans="3:15" ht="21" thickBot="1">
      <c r="C157" s="324" t="s">
        <v>721</v>
      </c>
      <c r="D157" s="302">
        <f>D130</f>
        <v>0.13868595925770869</v>
      </c>
      <c r="E157" s="302">
        <f t="shared" ref="E157:O157" si="226">E130</f>
        <v>0.1207179111892433</v>
      </c>
      <c r="F157" s="302">
        <f t="shared" si="226"/>
        <v>0.10965970456370178</v>
      </c>
      <c r="G157" s="302">
        <f t="shared" si="226"/>
        <v>0.10006689611150414</v>
      </c>
      <c r="H157" s="302">
        <f t="shared" si="226"/>
        <v>0.12578225117362593</v>
      </c>
      <c r="I157" s="302">
        <f t="shared" si="226"/>
        <v>0.15039482414440675</v>
      </c>
      <c r="J157" s="302">
        <f t="shared" si="226"/>
        <v>0.16985001425536972</v>
      </c>
      <c r="K157" s="302">
        <f t="shared" si="226"/>
        <v>0.19928868889822612</v>
      </c>
      <c r="L157" s="302">
        <f t="shared" si="226"/>
        <v>0.18382966442151277</v>
      </c>
      <c r="M157" s="302">
        <f t="shared" si="226"/>
        <v>0.1681817758595881</v>
      </c>
      <c r="N157" s="302">
        <f t="shared" si="226"/>
        <v>0.16009167920782377</v>
      </c>
      <c r="O157" s="303">
        <f t="shared" si="226"/>
        <v>0.14472930583044941</v>
      </c>
    </row>
    <row r="159" spans="3:15"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</row>
    <row r="160" spans="3:15" ht="21" thickBot="1">
      <c r="C160" s="33" t="s">
        <v>909</v>
      </c>
    </row>
    <row r="161" spans="3:15" ht="21" thickBot="1">
      <c r="C161" s="244" t="s">
        <v>584</v>
      </c>
      <c r="D161" s="289">
        <f>D134</f>
        <v>41091</v>
      </c>
      <c r="E161" s="289">
        <f t="shared" ref="E161:O161" si="227">E134</f>
        <v>41122</v>
      </c>
      <c r="F161" s="289">
        <f t="shared" si="227"/>
        <v>41153</v>
      </c>
      <c r="G161" s="289">
        <f t="shared" si="227"/>
        <v>41183</v>
      </c>
      <c r="H161" s="289">
        <f t="shared" si="227"/>
        <v>41214</v>
      </c>
      <c r="I161" s="289">
        <f t="shared" si="227"/>
        <v>41244</v>
      </c>
      <c r="J161" s="289">
        <f t="shared" si="227"/>
        <v>41275</v>
      </c>
      <c r="K161" s="289">
        <f t="shared" si="227"/>
        <v>41306</v>
      </c>
      <c r="L161" s="289">
        <f t="shared" si="227"/>
        <v>41334</v>
      </c>
      <c r="M161" s="289">
        <f t="shared" si="227"/>
        <v>41365</v>
      </c>
      <c r="N161" s="289">
        <f t="shared" si="227"/>
        <v>41395</v>
      </c>
      <c r="O161" s="290">
        <f t="shared" si="227"/>
        <v>41426</v>
      </c>
    </row>
    <row r="162" spans="3:15">
      <c r="C162" s="235" t="s">
        <v>155</v>
      </c>
      <c r="D162" s="236">
        <f>D135</f>
        <v>5</v>
      </c>
      <c r="E162" s="236">
        <f t="shared" ref="E162" si="228">V104</f>
        <v>3.4945898778359514</v>
      </c>
      <c r="F162" s="236">
        <f t="shared" ref="F162" si="229">W104</f>
        <v>3.4890052356020944</v>
      </c>
      <c r="G162" s="236">
        <f t="shared" ref="G162" si="230">X104</f>
        <v>3.4968237347294941</v>
      </c>
      <c r="H162" s="236">
        <f t="shared" ref="H162" si="231">Y104</f>
        <v>3.6487260034904012</v>
      </c>
      <c r="I162" s="236">
        <f t="shared" ref="I162" si="232">Z104</f>
        <v>3.9078534031413614</v>
      </c>
      <c r="J162" s="236">
        <f t="shared" ref="J162" si="233">AA104</f>
        <v>4.0530541012216403</v>
      </c>
      <c r="K162" s="236">
        <f t="shared" ref="K162" si="234">AB104</f>
        <v>4.0597556719022698</v>
      </c>
      <c r="L162" s="236">
        <f t="shared" ref="L162" si="235">AC104</f>
        <v>4.0128446771378705</v>
      </c>
      <c r="M162" s="236">
        <f t="shared" ref="M162" si="236">AD104</f>
        <v>3.9704013961605589</v>
      </c>
      <c r="N162" s="236">
        <f t="shared" ref="N162" si="237">AE104</f>
        <v>3.9905061082024433</v>
      </c>
      <c r="O162" s="237">
        <f t="shared" ref="O162" si="238">AF104</f>
        <v>4.0295986038394416</v>
      </c>
    </row>
    <row r="163" spans="3:15">
      <c r="C163" s="238" t="s">
        <v>974</v>
      </c>
      <c r="D163" s="480">
        <f>D136/$C$2</f>
        <v>-1.2608642997080119</v>
      </c>
      <c r="E163" s="480">
        <f t="shared" ref="E163:O163" si="239">E136/$C$2</f>
        <v>-1.3491676198365647</v>
      </c>
      <c r="F163" s="480">
        <f t="shared" si="239"/>
        <v>-1.20801853258018</v>
      </c>
      <c r="G163" s="480">
        <f t="shared" si="239"/>
        <v>-0.92851041994944072</v>
      </c>
      <c r="H163" s="480">
        <f t="shared" si="239"/>
        <v>-0.47599107882945796</v>
      </c>
      <c r="I163" s="480">
        <f t="shared" si="239"/>
        <v>-3.6093233879840002E-2</v>
      </c>
      <c r="J163" s="480">
        <f t="shared" si="239"/>
        <v>-6.8873667659219351E-3</v>
      </c>
      <c r="K163" s="480">
        <f t="shared" si="239"/>
        <v>-0.31149640145694374</v>
      </c>
      <c r="L163" s="480">
        <f t="shared" si="239"/>
        <v>-0.70314667470314351</v>
      </c>
      <c r="M163" s="480">
        <f t="shared" si="239"/>
        <v>-1.0622973254489567</v>
      </c>
      <c r="N163" s="480">
        <f t="shared" si="239"/>
        <v>-1.1633761952959401</v>
      </c>
      <c r="O163" s="481">
        <f t="shared" si="239"/>
        <v>-1.3061064960215878</v>
      </c>
    </row>
    <row r="164" spans="3:15">
      <c r="C164" s="238" t="s">
        <v>975</v>
      </c>
      <c r="D164" s="480">
        <f>D137/$C$2</f>
        <v>6.400728511331387</v>
      </c>
      <c r="E164" s="480">
        <f t="shared" ref="E164:O164" si="240">E137/$C$2</f>
        <v>5.0515608914948213</v>
      </c>
      <c r="F164" s="480">
        <f t="shared" si="240"/>
        <v>3.8435423589146418</v>
      </c>
      <c r="G164" s="480">
        <f t="shared" si="240"/>
        <v>2.9150319389652011</v>
      </c>
      <c r="H164" s="480">
        <f t="shared" si="240"/>
        <v>2.4390408601357429</v>
      </c>
      <c r="I164" s="480">
        <f t="shared" si="240"/>
        <v>2.4029476262559029</v>
      </c>
      <c r="J164" s="480">
        <f t="shared" si="240"/>
        <v>2.3960602594899809</v>
      </c>
      <c r="K164" s="480">
        <f t="shared" si="240"/>
        <v>2.0845638580330372</v>
      </c>
      <c r="L164" s="480">
        <f t="shared" si="240"/>
        <v>1.3814171833298938</v>
      </c>
      <c r="M164" s="480">
        <f t="shared" si="240"/>
        <v>0.31911985788093694</v>
      </c>
      <c r="N164" s="480">
        <f t="shared" si="240"/>
        <v>-0.84425633741500317</v>
      </c>
      <c r="O164" s="481">
        <f t="shared" si="240"/>
        <v>-2.1503628334365912</v>
      </c>
    </row>
    <row r="165" spans="3:15" ht="21" thickBot="1">
      <c r="C165" s="291" t="s">
        <v>721</v>
      </c>
      <c r="D165" s="302">
        <f>D138</f>
        <v>0.10617674371219338</v>
      </c>
      <c r="E165" s="302">
        <f t="shared" ref="E165:O165" si="241">E138</f>
        <v>8.3796443666256881E-2</v>
      </c>
      <c r="F165" s="302">
        <f t="shared" si="241"/>
        <v>6.3757556857313602E-2</v>
      </c>
      <c r="G165" s="302">
        <f t="shared" si="241"/>
        <v>4.8355214339810638E-2</v>
      </c>
      <c r="H165" s="302">
        <f t="shared" si="241"/>
        <v>4.0459365813085145E-2</v>
      </c>
      <c r="I165" s="302">
        <f t="shared" si="241"/>
        <v>3.9860643021356099E-2</v>
      </c>
      <c r="J165" s="302">
        <f t="shared" si="241"/>
        <v>3.9746393811338432E-2</v>
      </c>
      <c r="K165" s="302">
        <f t="shared" si="241"/>
        <v>3.4579220492518055E-2</v>
      </c>
      <c r="L165" s="302">
        <f t="shared" si="241"/>
        <v>2.2915263157057275E-2</v>
      </c>
      <c r="M165" s="302">
        <f t="shared" si="241"/>
        <v>5.2936329518915876E-3</v>
      </c>
      <c r="N165" s="302">
        <f t="shared" si="241"/>
        <v>-1.4004716589121847E-2</v>
      </c>
      <c r="O165" s="303">
        <f t="shared" si="241"/>
        <v>-3.5670708896623923E-2</v>
      </c>
    </row>
    <row r="168" spans="3:15" ht="21" thickBot="1">
      <c r="C168" s="33" t="s">
        <v>915</v>
      </c>
    </row>
    <row r="169" spans="3:15" ht="21" thickBot="1">
      <c r="C169" s="244" t="s">
        <v>584</v>
      </c>
      <c r="D169" s="289">
        <f>D142</f>
        <v>41456</v>
      </c>
      <c r="E169" s="289">
        <f t="shared" ref="E169:O169" si="242">E142</f>
        <v>41487</v>
      </c>
      <c r="F169" s="289">
        <f t="shared" si="242"/>
        <v>41518</v>
      </c>
      <c r="G169" s="289">
        <f t="shared" si="242"/>
        <v>41548</v>
      </c>
      <c r="H169" s="289">
        <f t="shared" si="242"/>
        <v>41579</v>
      </c>
      <c r="I169" s="289">
        <f t="shared" si="242"/>
        <v>41609</v>
      </c>
      <c r="J169" s="289">
        <f t="shared" si="242"/>
        <v>41640</v>
      </c>
      <c r="K169" s="289">
        <f t="shared" si="242"/>
        <v>41671</v>
      </c>
      <c r="L169" s="289">
        <f t="shared" si="242"/>
        <v>41699</v>
      </c>
      <c r="M169" s="289">
        <f t="shared" si="242"/>
        <v>41730</v>
      </c>
      <c r="N169" s="289">
        <f t="shared" si="242"/>
        <v>41760</v>
      </c>
      <c r="O169" s="290">
        <f t="shared" si="242"/>
        <v>41791</v>
      </c>
    </row>
    <row r="170" spans="3:15">
      <c r="C170" s="235" t="s">
        <v>155</v>
      </c>
      <c r="D170" s="236">
        <f>D143</f>
        <v>5</v>
      </c>
      <c r="E170" s="236">
        <f t="shared" ref="E170:O170" si="243">E143</f>
        <v>5</v>
      </c>
      <c r="F170" s="236">
        <f t="shared" si="243"/>
        <v>5</v>
      </c>
      <c r="G170" s="236">
        <f t="shared" si="243"/>
        <v>5</v>
      </c>
      <c r="H170" s="236">
        <f t="shared" si="243"/>
        <v>5</v>
      </c>
      <c r="I170" s="236">
        <f t="shared" si="243"/>
        <v>5</v>
      </c>
      <c r="J170" s="236">
        <f t="shared" si="243"/>
        <v>5</v>
      </c>
      <c r="K170" s="236">
        <f t="shared" si="243"/>
        <v>5</v>
      </c>
      <c r="L170" s="236">
        <f t="shared" si="243"/>
        <v>5</v>
      </c>
      <c r="M170" s="236">
        <f t="shared" si="243"/>
        <v>5</v>
      </c>
      <c r="N170" s="236">
        <f t="shared" si="243"/>
        <v>5</v>
      </c>
      <c r="O170" s="237">
        <f t="shared" si="243"/>
        <v>5</v>
      </c>
    </row>
    <row r="171" spans="3:15">
      <c r="C171" s="238" t="s">
        <v>974</v>
      </c>
      <c r="D171" s="480">
        <f>D144/$C$2</f>
        <v>-1.3944530388649903</v>
      </c>
      <c r="E171" s="480">
        <f t="shared" ref="E171:O171" si="244">E144/$C$2</f>
        <v>-1.4212335292539708</v>
      </c>
      <c r="F171" s="480">
        <f t="shared" si="244"/>
        <v>-1.2703803914254295</v>
      </c>
      <c r="G171" s="480">
        <f t="shared" si="244"/>
        <v>-1.1346485512874331</v>
      </c>
      <c r="H171" s="480">
        <f t="shared" si="244"/>
        <v>-0.98517710460789876</v>
      </c>
      <c r="I171" s="480">
        <f t="shared" si="244"/>
        <v>-0.5829847139252704</v>
      </c>
      <c r="J171" s="480">
        <f t="shared" si="244"/>
        <v>-0.59632229937784742</v>
      </c>
      <c r="K171" s="480">
        <f t="shared" si="244"/>
        <v>-0.75248779913540276</v>
      </c>
      <c r="L171" s="480">
        <f t="shared" si="244"/>
        <v>-1.06878539404946</v>
      </c>
      <c r="M171" s="480">
        <f t="shared" si="244"/>
        <v>-1.208689077811913</v>
      </c>
      <c r="N171" s="480">
        <f t="shared" si="244"/>
        <v>-1.3982288277502639</v>
      </c>
      <c r="O171" s="481">
        <f t="shared" si="244"/>
        <v>-1.4742169220654551</v>
      </c>
    </row>
    <row r="172" spans="3:15">
      <c r="C172" s="238" t="s">
        <v>975</v>
      </c>
      <c r="D172" s="480">
        <f>D145/$C$2</f>
        <v>-3.5448158723015815</v>
      </c>
      <c r="E172" s="480">
        <f t="shared" ref="E172:O172" si="245">E145/$C$2</f>
        <v>-4.9660494015555523</v>
      </c>
      <c r="F172" s="480">
        <f t="shared" si="245"/>
        <v>-6.2364297929809824</v>
      </c>
      <c r="G172" s="480">
        <f t="shared" si="245"/>
        <v>-7.3710783442684153</v>
      </c>
      <c r="H172" s="480">
        <f t="shared" si="245"/>
        <v>-8.356255448876313</v>
      </c>
      <c r="I172" s="480">
        <f t="shared" si="245"/>
        <v>-8.9392401628015836</v>
      </c>
      <c r="J172" s="480">
        <f t="shared" si="245"/>
        <v>-9.5355624621794313</v>
      </c>
      <c r="K172" s="480">
        <f t="shared" si="245"/>
        <v>-10.288050261314835</v>
      </c>
      <c r="L172" s="480">
        <f t="shared" si="245"/>
        <v>-11.356835655364295</v>
      </c>
      <c r="M172" s="480">
        <f t="shared" si="245"/>
        <v>-12.565524733176209</v>
      </c>
      <c r="N172" s="480">
        <f t="shared" si="245"/>
        <v>-13.963753560926472</v>
      </c>
      <c r="O172" s="481">
        <f t="shared" si="245"/>
        <v>-15.437970482991929</v>
      </c>
    </row>
    <row r="173" spans="3:15" ht="21" thickBot="1">
      <c r="C173" s="291" t="s">
        <v>721</v>
      </c>
      <c r="D173" s="302">
        <f>D146</f>
        <v>-5.494706646213391E-2</v>
      </c>
      <c r="E173" s="302">
        <f t="shared" ref="E173:O173" si="246">E146</f>
        <v>-7.697715660033537E-2</v>
      </c>
      <c r="F173" s="302">
        <f t="shared" si="246"/>
        <v>-9.6668920097919414E-2</v>
      </c>
      <c r="G173" s="302">
        <f t="shared" si="246"/>
        <v>-0.11425674739408719</v>
      </c>
      <c r="H173" s="302">
        <f t="shared" si="246"/>
        <v>-0.12952766520588191</v>
      </c>
      <c r="I173" s="302">
        <f t="shared" si="246"/>
        <v>-0.13856432634045907</v>
      </c>
      <c r="J173" s="302">
        <f t="shared" si="246"/>
        <v>-0.14780772915660947</v>
      </c>
      <c r="K173" s="302">
        <f t="shared" si="246"/>
        <v>-0.15947180385061949</v>
      </c>
      <c r="L173" s="302">
        <f t="shared" si="246"/>
        <v>-0.17603870723746975</v>
      </c>
      <c r="M173" s="302">
        <f t="shared" si="246"/>
        <v>-0.19477421325049868</v>
      </c>
      <c r="N173" s="302">
        <f t="shared" si="246"/>
        <v>-0.21644771480751523</v>
      </c>
      <c r="O173" s="303">
        <f t="shared" si="246"/>
        <v>-0.23929908371197084</v>
      </c>
    </row>
  </sheetData>
  <phoneticPr fontId="0" type="noConversion"/>
  <printOptions horizontalCentered="1" verticalCentered="1"/>
  <pageMargins left="0.75" right="0.75" top="1" bottom="1" header="0.5" footer="0.5"/>
  <pageSetup scale="39" orientation="landscape" horizontalDpi="1200" verticalDpi="1200" r:id="rId1"/>
  <headerFooter alignWithMargins="0">
    <oddHeader>&amp;L&amp;"Arial Narrow,Regular"&amp;22City of Richmond
Department of Public Utilities
PGC Adjustments 
NYMEX Settlement: 
8-May-12</oddHead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5"/>
  <dimension ref="A1:N28"/>
  <sheetViews>
    <sheetView zoomScale="50" workbookViewId="0">
      <pane xSplit="1" ySplit="1" topLeftCell="E2" activePane="bottomRight" state="frozen"/>
      <selection activeCell="I74" sqref="I74"/>
      <selection pane="topRight" activeCell="I74" sqref="I74"/>
      <selection pane="bottomLeft" activeCell="I74" sqref="I74"/>
      <selection pane="bottomRight" activeCell="M16" sqref="M16"/>
    </sheetView>
  </sheetViews>
  <sheetFormatPr defaultRowHeight="20.25"/>
  <cols>
    <col min="1" max="1" width="49.88671875" style="1" bestFit="1" customWidth="1"/>
    <col min="2" max="2" width="15.44140625" style="10" bestFit="1" customWidth="1"/>
    <col min="3" max="7" width="16.77734375" style="10" bestFit="1" customWidth="1"/>
    <col min="8" max="9" width="18.109375" style="10" bestFit="1" customWidth="1"/>
    <col min="10" max="13" width="18.109375" style="1" bestFit="1" customWidth="1"/>
    <col min="14" max="14" width="18.109375" style="10" bestFit="1" customWidth="1"/>
    <col min="15" max="16384" width="8.88671875" style="1"/>
  </cols>
  <sheetData>
    <row r="1" spans="1:14">
      <c r="B1" s="142">
        <v>40725</v>
      </c>
      <c r="C1" s="142">
        <v>40756</v>
      </c>
      <c r="D1" s="142">
        <v>40787</v>
      </c>
      <c r="E1" s="142">
        <v>40817</v>
      </c>
      <c r="F1" s="142">
        <v>40848</v>
      </c>
      <c r="G1" s="142">
        <v>40878</v>
      </c>
      <c r="H1" s="142">
        <v>40909</v>
      </c>
      <c r="I1" s="142">
        <v>40940</v>
      </c>
      <c r="J1" s="142">
        <v>40969</v>
      </c>
      <c r="K1" s="142">
        <v>41000</v>
      </c>
      <c r="L1" s="142">
        <v>41030</v>
      </c>
      <c r="M1" s="142">
        <v>41061</v>
      </c>
      <c r="N1" s="11" t="s">
        <v>303</v>
      </c>
    </row>
    <row r="2" spans="1:14">
      <c r="A2" s="2" t="s">
        <v>139</v>
      </c>
      <c r="B2" s="32">
        <f>+'YR REPORTS'!D79</f>
        <v>1181975.5999999999</v>
      </c>
      <c r="C2" s="32">
        <f>+'YR REPORTS'!E79</f>
        <v>1377752.3500000003</v>
      </c>
      <c r="D2" s="32">
        <f>+'YR REPORTS'!F79</f>
        <v>1540609.2</v>
      </c>
      <c r="E2" s="32">
        <f>+'YR REPORTS'!G79</f>
        <v>2926981.2000000007</v>
      </c>
      <c r="F2" s="32">
        <f>+'YR REPORTS'!H79</f>
        <v>5777083</v>
      </c>
      <c r="G2" s="32">
        <f>+'YR REPORTS'!I79</f>
        <v>7985786.4000000004</v>
      </c>
      <c r="H2" s="32">
        <f>+'YR REPORTS'!J79</f>
        <v>9195837</v>
      </c>
      <c r="I2" s="32">
        <f>+'YR REPORTS'!K79</f>
        <v>8193160.2000000011</v>
      </c>
      <c r="J2" s="32">
        <f>+'YR REPORTS'!L79</f>
        <v>3299960.5</v>
      </c>
      <c r="K2" s="32">
        <f>+'YR REPORTS'!M79</f>
        <v>2278016.0000000005</v>
      </c>
      <c r="L2" s="32">
        <f>+'YR REPORTS'!N79</f>
        <v>1413704.5</v>
      </c>
      <c r="M2" s="32">
        <f>+'YR REPORTS'!O79</f>
        <v>1058879.9999999998</v>
      </c>
      <c r="N2" s="32">
        <f t="shared" ref="N2:N7" si="0">SUM(B2:M2)</f>
        <v>46229745.950000003</v>
      </c>
    </row>
    <row r="3" spans="1:14">
      <c r="A3" s="1" t="s">
        <v>294</v>
      </c>
      <c r="B3" s="188">
        <v>660845.77</v>
      </c>
      <c r="C3" s="188">
        <v>811553.36</v>
      </c>
      <c r="D3" s="188">
        <v>894294.67</v>
      </c>
      <c r="E3" s="188">
        <v>1982061.99</v>
      </c>
      <c r="F3" s="188">
        <v>4002972.03</v>
      </c>
      <c r="G3" s="188">
        <v>5736378.04</v>
      </c>
      <c r="H3" s="188">
        <v>6378855.4199999999</v>
      </c>
      <c r="I3" s="188">
        <v>5675408.3600000003</v>
      </c>
      <c r="J3" s="188">
        <v>2233348.23</v>
      </c>
      <c r="K3" s="188">
        <v>1478830.0800000001</v>
      </c>
      <c r="L3" s="188">
        <v>832213.23</v>
      </c>
      <c r="M3" s="188">
        <v>631064.19999999995</v>
      </c>
      <c r="N3" s="32">
        <f t="shared" si="0"/>
        <v>31317825.380000003</v>
      </c>
    </row>
    <row r="4" spans="1:14">
      <c r="A4" s="1" t="s">
        <v>295</v>
      </c>
      <c r="B4" s="188">
        <v>494097.26999999996</v>
      </c>
      <c r="C4" s="188">
        <v>537520.88</v>
      </c>
      <c r="D4" s="188">
        <v>609496.69999999995</v>
      </c>
      <c r="E4" s="188">
        <v>880400.97</v>
      </c>
      <c r="F4" s="188">
        <v>1613111.88</v>
      </c>
      <c r="G4" s="188">
        <v>2115364.5</v>
      </c>
      <c r="H4" s="188">
        <v>2521478.2999999998</v>
      </c>
      <c r="I4" s="188">
        <v>2275661.09</v>
      </c>
      <c r="J4" s="188">
        <v>1127282.6299999999</v>
      </c>
      <c r="K4" s="188">
        <v>750789.5199999999</v>
      </c>
      <c r="L4" s="188">
        <v>543585.67000000004</v>
      </c>
      <c r="M4" s="188">
        <v>402844.73</v>
      </c>
      <c r="N4" s="32">
        <f t="shared" si="0"/>
        <v>13871634.139999999</v>
      </c>
    </row>
    <row r="5" spans="1:14">
      <c r="A5" s="1" t="s">
        <v>296</v>
      </c>
      <c r="B5" s="313">
        <v>21644.35</v>
      </c>
      <c r="C5" s="188">
        <v>22429.55</v>
      </c>
      <c r="D5" s="188">
        <v>32082.7</v>
      </c>
      <c r="E5" s="188">
        <v>64212.2</v>
      </c>
      <c r="F5" s="188">
        <v>162559.79999999999</v>
      </c>
      <c r="G5" s="188">
        <v>220215.2</v>
      </c>
      <c r="H5" s="188">
        <v>293990.40000000002</v>
      </c>
      <c r="I5" s="188">
        <v>241167</v>
      </c>
      <c r="J5" s="188">
        <v>107441.1</v>
      </c>
      <c r="K5" s="188">
        <v>46462</v>
      </c>
      <c r="L5" s="188">
        <v>32881</v>
      </c>
      <c r="M5" s="188">
        <v>23883</v>
      </c>
      <c r="N5" s="32">
        <f t="shared" si="0"/>
        <v>1268968.3</v>
      </c>
    </row>
    <row r="6" spans="1:14">
      <c r="A6" s="1" t="s">
        <v>292</v>
      </c>
      <c r="B6" s="32">
        <f>SUM(B3:B5)</f>
        <v>1176587.3900000001</v>
      </c>
      <c r="C6" s="32">
        <f t="shared" ref="C6:M6" si="1">SUM(C3:C5)</f>
        <v>1371503.79</v>
      </c>
      <c r="D6" s="32">
        <f t="shared" si="1"/>
        <v>1535874.07</v>
      </c>
      <c r="E6" s="32">
        <f t="shared" si="1"/>
        <v>2926675.16</v>
      </c>
      <c r="F6" s="32">
        <f t="shared" si="1"/>
        <v>5778643.71</v>
      </c>
      <c r="G6" s="32">
        <f t="shared" si="1"/>
        <v>8071957.7400000002</v>
      </c>
      <c r="H6" s="32">
        <f t="shared" si="1"/>
        <v>9194324.1199999992</v>
      </c>
      <c r="I6" s="32">
        <f t="shared" si="1"/>
        <v>8192236.4500000002</v>
      </c>
      <c r="J6" s="32">
        <f t="shared" si="1"/>
        <v>3468071.96</v>
      </c>
      <c r="K6" s="32">
        <f t="shared" si="1"/>
        <v>2276081.6</v>
      </c>
      <c r="L6" s="32">
        <f t="shared" si="1"/>
        <v>1408679.9</v>
      </c>
      <c r="M6" s="32">
        <f t="shared" si="1"/>
        <v>1057791.93</v>
      </c>
      <c r="N6" s="32">
        <f t="shared" si="0"/>
        <v>46458427.82</v>
      </c>
    </row>
    <row r="7" spans="1:14">
      <c r="A7" s="4" t="s">
        <v>293</v>
      </c>
      <c r="B7" s="30">
        <f>B6-B2</f>
        <v>-5388.2099999997299</v>
      </c>
      <c r="C7" s="30">
        <f t="shared" ref="C7:K7" si="2">C6-C2</f>
        <v>-6248.5600000002887</v>
      </c>
      <c r="D7" s="30">
        <f t="shared" si="2"/>
        <v>-4735.1299999998882</v>
      </c>
      <c r="E7" s="66">
        <f t="shared" si="2"/>
        <v>-306.04000000050291</v>
      </c>
      <c r="F7" s="30">
        <f t="shared" si="2"/>
        <v>1560.7099999999627</v>
      </c>
      <c r="G7" s="30">
        <f t="shared" si="2"/>
        <v>86171.339999999851</v>
      </c>
      <c r="H7" s="66">
        <f t="shared" si="2"/>
        <v>-1512.8800000008196</v>
      </c>
      <c r="I7" s="30">
        <f t="shared" si="2"/>
        <v>-923.75000000093132</v>
      </c>
      <c r="J7" s="30">
        <f t="shared" si="2"/>
        <v>168111.45999999996</v>
      </c>
      <c r="K7" s="30">
        <f t="shared" si="2"/>
        <v>-1934.4000000003725</v>
      </c>
      <c r="L7" s="30">
        <f>L6-L2</f>
        <v>-5024.6000000000931</v>
      </c>
      <c r="M7" s="30">
        <f>M6-M2</f>
        <v>-1088.0699999998324</v>
      </c>
      <c r="N7" s="30">
        <f t="shared" si="0"/>
        <v>228681.86999999732</v>
      </c>
    </row>
    <row r="8" spans="1:14">
      <c r="J8" s="10"/>
      <c r="K8" s="10"/>
      <c r="L8" s="10"/>
      <c r="M8" s="10"/>
    </row>
    <row r="9" spans="1:14">
      <c r="A9" s="33" t="s">
        <v>137</v>
      </c>
      <c r="B9" s="32">
        <f>+'YR REPORTS'!D84</f>
        <v>301102.13799999998</v>
      </c>
      <c r="C9" s="32">
        <f>+'YR REPORTS'!E84</f>
        <v>348947.18800000002</v>
      </c>
      <c r="D9" s="32">
        <f>+'YR REPORTS'!F84</f>
        <v>399799.25399999996</v>
      </c>
      <c r="E9" s="32">
        <f>+'YR REPORTS'!G84</f>
        <v>569478.31599999999</v>
      </c>
      <c r="F9" s="32">
        <f>+'YR REPORTS'!H84</f>
        <v>828499.03200000001</v>
      </c>
      <c r="G9" s="32">
        <f>+'YR REPORTS'!I84</f>
        <v>1020998.892</v>
      </c>
      <c r="H9" s="32">
        <f>+'YR REPORTS'!J84</f>
        <v>1112674.7279999999</v>
      </c>
      <c r="I9" s="32">
        <f>+'YR REPORTS'!K84</f>
        <v>983080.94400000002</v>
      </c>
      <c r="J9" s="32">
        <f>+'YR REPORTS'!L84</f>
        <v>570334.52</v>
      </c>
      <c r="K9" s="32">
        <f>+'YR REPORTS'!M84</f>
        <v>431405.016</v>
      </c>
      <c r="L9" s="32">
        <f>+'YR REPORTS'!N84</f>
        <v>350498.96</v>
      </c>
      <c r="M9" s="32">
        <f>+'YR REPORTS'!O84</f>
        <v>274196.55200000003</v>
      </c>
      <c r="N9" s="32">
        <f>SUM(B9:M9)</f>
        <v>7191015.54</v>
      </c>
    </row>
    <row r="10" spans="1:14">
      <c r="A10" s="1" t="s">
        <v>297</v>
      </c>
      <c r="B10" s="188">
        <v>301102.05</v>
      </c>
      <c r="C10" s="188">
        <v>349791.66</v>
      </c>
      <c r="D10" s="188">
        <v>399342.43</v>
      </c>
      <c r="E10" s="188">
        <v>569478.22</v>
      </c>
      <c r="F10" s="188">
        <v>828498.96</v>
      </c>
      <c r="G10" s="188">
        <v>1040184.34</v>
      </c>
      <c r="H10" s="188">
        <v>1112072.45</v>
      </c>
      <c r="I10" s="188">
        <v>983080.92</v>
      </c>
      <c r="J10" s="188">
        <v>623831.61</v>
      </c>
      <c r="K10" s="188">
        <v>431405.09</v>
      </c>
      <c r="L10" s="188">
        <v>350499.06</v>
      </c>
      <c r="M10" s="188">
        <v>274196.53999999998</v>
      </c>
      <c r="N10" s="32">
        <f>SUM(B10:M10)</f>
        <v>7263483.3299999991</v>
      </c>
    </row>
    <row r="11" spans="1:14" s="110" customFormat="1">
      <c r="A11" s="121" t="s">
        <v>293</v>
      </c>
      <c r="B11" s="30">
        <f>B10-B9</f>
        <v>-8.7999999988824129E-2</v>
      </c>
      <c r="C11" s="30">
        <f t="shared" ref="C11:K11" si="3">C10-C9</f>
        <v>844.47199999995064</v>
      </c>
      <c r="D11" s="30">
        <f t="shared" si="3"/>
        <v>-456.82399999996414</v>
      </c>
      <c r="E11" s="30">
        <f t="shared" si="3"/>
        <v>-9.6000000019557774E-2</v>
      </c>
      <c r="F11" s="30">
        <f t="shared" si="3"/>
        <v>-7.2000000043772161E-2</v>
      </c>
      <c r="G11" s="30">
        <f t="shared" si="3"/>
        <v>19185.447999999975</v>
      </c>
      <c r="H11" s="66">
        <f t="shared" si="3"/>
        <v>-602.27799999993294</v>
      </c>
      <c r="I11" s="30">
        <f t="shared" si="3"/>
        <v>-2.3999999975785613E-2</v>
      </c>
      <c r="J11" s="30">
        <f t="shared" si="3"/>
        <v>53497.089999999967</v>
      </c>
      <c r="K11" s="30">
        <f t="shared" si="3"/>
        <v>7.4000000022351742E-2</v>
      </c>
      <c r="L11" s="30">
        <f>L10-L9</f>
        <v>9.9999999976716936E-2</v>
      </c>
      <c r="M11" s="30">
        <f>M10-M9</f>
        <v>-1.2000000046100467E-2</v>
      </c>
      <c r="N11" s="30">
        <f>SUM(B11:M11)</f>
        <v>72467.789999999921</v>
      </c>
    </row>
    <row r="12" spans="1:14">
      <c r="J12" s="10"/>
      <c r="K12" s="10"/>
      <c r="L12" s="10"/>
      <c r="M12" s="10"/>
    </row>
    <row r="13" spans="1:14">
      <c r="A13" s="2" t="s">
        <v>117</v>
      </c>
      <c r="B13" s="32">
        <f>+'YR REPORTS'!D70</f>
        <v>1057608.1424188484</v>
      </c>
      <c r="C13" s="32">
        <f>+'YR REPORTS'!E70</f>
        <v>1163679.6859232113</v>
      </c>
      <c r="D13" s="32">
        <f>+'YR REPORTS'!F70</f>
        <v>1130043.7616893544</v>
      </c>
      <c r="E13" s="32">
        <f>+'YR REPORTS'!G70</f>
        <v>1195283.7676055848</v>
      </c>
      <c r="F13" s="32">
        <f>+'YR REPORTS'!H70</f>
        <v>1378765.2940453754</v>
      </c>
      <c r="G13" s="32">
        <f>+'YR REPORTS'!I70</f>
        <v>1452462.7232670158</v>
      </c>
      <c r="H13" s="32">
        <f>+'YR REPORTS'!J70</f>
        <v>1420697.444746946</v>
      </c>
      <c r="I13" s="32">
        <f>+'YR REPORTS'!K70</f>
        <v>1225673.6480558463</v>
      </c>
      <c r="J13" s="32">
        <f>+'YR REPORTS'!L70</f>
        <v>997480.18848167546</v>
      </c>
      <c r="K13" s="32">
        <f>+'YR REPORTS'!M70</f>
        <v>674914.5637696333</v>
      </c>
      <c r="L13" s="32">
        <f>+'YR REPORTS'!N70</f>
        <v>576736.6157068063</v>
      </c>
      <c r="M13" s="32">
        <f>+'YR REPORTS'!O70</f>
        <v>634685.6442582896</v>
      </c>
      <c r="N13" s="32">
        <f>SUM(C13:M13)</f>
        <v>11850423.337549739</v>
      </c>
    </row>
    <row r="14" spans="1:14">
      <c r="A14" s="1" t="s">
        <v>298</v>
      </c>
      <c r="B14" s="188">
        <v>66435.806830000001</v>
      </c>
      <c r="C14" s="188">
        <v>9179.1965600000003</v>
      </c>
      <c r="D14" s="400">
        <v>8467.8565099999996</v>
      </c>
      <c r="E14" s="436">
        <v>32200.077699999998</v>
      </c>
      <c r="F14" s="188">
        <v>63943.649440000001</v>
      </c>
      <c r="G14" s="188">
        <v>70638.981939999998</v>
      </c>
      <c r="H14" s="188">
        <v>75892.816980000003</v>
      </c>
      <c r="I14" s="188">
        <v>61622.378450000011</v>
      </c>
      <c r="J14" s="188">
        <v>39061.376640000002</v>
      </c>
      <c r="K14" s="188">
        <v>25317.213940000005</v>
      </c>
      <c r="L14" s="188">
        <v>14010.47323</v>
      </c>
      <c r="M14" s="188">
        <v>6304.9473799999996</v>
      </c>
      <c r="N14" s="32">
        <f>SUM(C14:M14)</f>
        <v>406638.96876999998</v>
      </c>
    </row>
    <row r="15" spans="1:14">
      <c r="A15" s="1" t="s">
        <v>299</v>
      </c>
      <c r="B15" s="188">
        <v>777206.87</v>
      </c>
      <c r="C15" s="188">
        <v>934586.48</v>
      </c>
      <c r="D15" s="188">
        <v>942079.37</v>
      </c>
      <c r="E15" s="188">
        <v>900910.16</v>
      </c>
      <c r="F15" s="188">
        <v>988206.79</v>
      </c>
      <c r="G15" s="188">
        <v>1025889.77</v>
      </c>
      <c r="H15" s="188">
        <v>1013301.28</v>
      </c>
      <c r="I15" s="188">
        <v>871432.87</v>
      </c>
      <c r="J15" s="188">
        <v>679244.9</v>
      </c>
      <c r="K15" s="188">
        <v>543178.43999999994</v>
      </c>
      <c r="L15" s="188">
        <v>362733.52</v>
      </c>
      <c r="M15" s="188">
        <v>370709.7</v>
      </c>
      <c r="N15" s="32">
        <f>SUM(E15:M15)</f>
        <v>6755607.4300000006</v>
      </c>
    </row>
    <row r="16" spans="1:14">
      <c r="A16" s="1" t="s">
        <v>300</v>
      </c>
      <c r="B16" s="188">
        <v>216172.85</v>
      </c>
      <c r="C16" s="188">
        <v>232048.05</v>
      </c>
      <c r="D16" s="188">
        <v>223105.53</v>
      </c>
      <c r="E16" s="188">
        <v>268061.18</v>
      </c>
      <c r="F16" s="188">
        <v>346157.97</v>
      </c>
      <c r="G16" s="188">
        <v>348679.61</v>
      </c>
      <c r="H16" s="188">
        <v>330506.32</v>
      </c>
      <c r="I16" s="188">
        <v>292942.55</v>
      </c>
      <c r="J16" s="188">
        <v>241000.06</v>
      </c>
      <c r="K16" s="188">
        <v>220138.89</v>
      </c>
      <c r="L16" s="188">
        <v>281227.03999999998</v>
      </c>
      <c r="M16" s="188">
        <v>236594.08</v>
      </c>
      <c r="N16" s="32">
        <f>SUM(C16:M16)</f>
        <v>3020461.2800000003</v>
      </c>
    </row>
    <row r="17" spans="1:14">
      <c r="A17" s="4" t="s">
        <v>931</v>
      </c>
      <c r="B17" s="188">
        <v>5785.3086300000014</v>
      </c>
      <c r="C17" s="188">
        <v>7924.9625299999989</v>
      </c>
      <c r="D17" s="188">
        <v>4407.3792000000003</v>
      </c>
      <c r="E17" s="188">
        <v>5088.2660500000002</v>
      </c>
      <c r="F17" s="188">
        <v>5469.9689199999993</v>
      </c>
      <c r="G17" s="188">
        <v>5383.2525000000005</v>
      </c>
      <c r="H17" s="188">
        <v>4661.2389400000002</v>
      </c>
      <c r="I17" s="188">
        <v>3658.1341500000003</v>
      </c>
      <c r="J17" s="188">
        <v>3728.1974400000008</v>
      </c>
      <c r="K17" s="188">
        <v>2876.0413600000002</v>
      </c>
      <c r="L17" s="188">
        <v>3716.47397</v>
      </c>
      <c r="M17" s="188">
        <v>3193.5505599999997</v>
      </c>
      <c r="N17" s="32">
        <f>SUM(C17:M17)</f>
        <v>50107.465620000003</v>
      </c>
    </row>
    <row r="18" spans="1:14">
      <c r="A18" s="1" t="s">
        <v>301</v>
      </c>
      <c r="B18" s="32">
        <f>SUM(B14:B17)</f>
        <v>1065600.8354600002</v>
      </c>
      <c r="C18" s="32">
        <f>SUM(C14:C17)</f>
        <v>1183738.6890899998</v>
      </c>
      <c r="D18" s="32">
        <f t="shared" ref="D18:M18" si="4">SUM(D14:D16)</f>
        <v>1173652.75651</v>
      </c>
      <c r="E18" s="32">
        <f t="shared" si="4"/>
        <v>1201171.4177000001</v>
      </c>
      <c r="F18" s="32">
        <f t="shared" si="4"/>
        <v>1398308.4094400001</v>
      </c>
      <c r="G18" s="32">
        <f t="shared" si="4"/>
        <v>1445208.3619400002</v>
      </c>
      <c r="H18" s="32">
        <f t="shared" si="4"/>
        <v>1419700.41698</v>
      </c>
      <c r="I18" s="32">
        <f t="shared" si="4"/>
        <v>1225997.7984499999</v>
      </c>
      <c r="J18" s="32">
        <f t="shared" si="4"/>
        <v>959306.33664000011</v>
      </c>
      <c r="K18" s="32">
        <f t="shared" si="4"/>
        <v>788634.54394</v>
      </c>
      <c r="L18" s="32">
        <f t="shared" si="4"/>
        <v>657971.03322999994</v>
      </c>
      <c r="M18" s="32">
        <f t="shared" si="4"/>
        <v>613608.72738000005</v>
      </c>
      <c r="N18" s="32">
        <f>SUM(B18:M18)</f>
        <v>13132899.326760001</v>
      </c>
    </row>
    <row r="19" spans="1:14">
      <c r="A19" s="1" t="s">
        <v>293</v>
      </c>
      <c r="B19" s="30">
        <f>B18-B13</f>
        <v>7992.6930411518551</v>
      </c>
      <c r="C19" s="30">
        <f t="shared" ref="C19:K19" si="5">C18-C13</f>
        <v>20059.00316678849</v>
      </c>
      <c r="D19" s="30">
        <f t="shared" si="5"/>
        <v>43608.994820645545</v>
      </c>
      <c r="E19" s="30">
        <f t="shared" si="5"/>
        <v>5887.650094415294</v>
      </c>
      <c r="F19" s="66">
        <f t="shared" si="5"/>
        <v>19543.115394624649</v>
      </c>
      <c r="G19" s="66">
        <f t="shared" si="5"/>
        <v>-7254.361327015562</v>
      </c>
      <c r="H19" s="66">
        <f t="shared" si="5"/>
        <v>-997.0277669460047</v>
      </c>
      <c r="I19" s="66">
        <f t="shared" si="5"/>
        <v>324.1503941535484</v>
      </c>
      <c r="J19" s="66">
        <f t="shared" si="5"/>
        <v>-38173.85184167535</v>
      </c>
      <c r="K19" s="66">
        <f t="shared" si="5"/>
        <v>113719.9801703667</v>
      </c>
      <c r="L19" s="66">
        <f>L18-L13</f>
        <v>81234.417523193639</v>
      </c>
      <c r="M19" s="66">
        <f>M18-M13</f>
        <v>-21076.916878289543</v>
      </c>
      <c r="N19" s="30">
        <f>SUM(B19:M19)</f>
        <v>224867.84679141326</v>
      </c>
    </row>
    <row r="20" spans="1:14">
      <c r="B20" s="30"/>
      <c r="C20" s="30"/>
      <c r="D20" s="30"/>
      <c r="E20" s="30"/>
      <c r="F20" s="66"/>
      <c r="G20" s="30"/>
      <c r="H20" s="66"/>
      <c r="I20" s="66"/>
      <c r="J20" s="66"/>
      <c r="K20" s="66"/>
      <c r="L20" s="66"/>
      <c r="M20" s="66"/>
      <c r="N20" s="30"/>
    </row>
    <row r="21" spans="1:14">
      <c r="A21" s="1" t="s">
        <v>304</v>
      </c>
      <c r="B21" s="30">
        <f>SUM(B2,B9,B13)</f>
        <v>2540685.8804188482</v>
      </c>
      <c r="C21" s="30">
        <f t="shared" ref="C21:M21" si="6">SUM(C2,C9,C13)</f>
        <v>2890379.2239232119</v>
      </c>
      <c r="D21" s="30">
        <f t="shared" si="6"/>
        <v>3070452.2156893546</v>
      </c>
      <c r="E21" s="30">
        <f t="shared" si="6"/>
        <v>4691743.2836055858</v>
      </c>
      <c r="F21" s="30">
        <f t="shared" si="6"/>
        <v>7984347.3260453753</v>
      </c>
      <c r="G21" s="30">
        <f t="shared" si="6"/>
        <v>10459248.015267015</v>
      </c>
      <c r="H21" s="30">
        <f t="shared" si="6"/>
        <v>11729209.172746945</v>
      </c>
      <c r="I21" s="30">
        <f t="shared" si="6"/>
        <v>10401914.792055847</v>
      </c>
      <c r="J21" s="30">
        <f t="shared" si="6"/>
        <v>4867775.208481675</v>
      </c>
      <c r="K21" s="30">
        <f t="shared" si="6"/>
        <v>3384335.5797696337</v>
      </c>
      <c r="L21" s="30">
        <f t="shared" si="6"/>
        <v>2340940.075706806</v>
      </c>
      <c r="M21" s="30">
        <f t="shared" si="6"/>
        <v>1967762.1962582893</v>
      </c>
      <c r="N21" s="30">
        <f t="shared" ref="N21" si="7">SUM(N2,N9,N13)</f>
        <v>65271184.827549741</v>
      </c>
    </row>
    <row r="22" spans="1:14">
      <c r="A22" s="1" t="s">
        <v>627</v>
      </c>
      <c r="B22" s="30">
        <f>B21</f>
        <v>2540685.8804188482</v>
      </c>
      <c r="C22" s="30">
        <f>B22+C21</f>
        <v>5431065.1043420602</v>
      </c>
      <c r="D22" s="30">
        <f t="shared" ref="D22:K22" si="8">C22+D21</f>
        <v>8501517.3200314157</v>
      </c>
      <c r="E22" s="30">
        <f t="shared" si="8"/>
        <v>13193260.603637002</v>
      </c>
      <c r="F22" s="30">
        <f t="shared" si="8"/>
        <v>21177607.929682378</v>
      </c>
      <c r="G22" s="30">
        <f t="shared" si="8"/>
        <v>31636855.944949392</v>
      </c>
      <c r="H22" s="30">
        <f t="shared" si="8"/>
        <v>43366065.117696337</v>
      </c>
      <c r="I22" s="30">
        <f t="shared" si="8"/>
        <v>53767979.909752183</v>
      </c>
      <c r="J22" s="30">
        <f t="shared" si="8"/>
        <v>58635755.11823386</v>
      </c>
      <c r="K22" s="30">
        <f t="shared" si="8"/>
        <v>62020090.698003493</v>
      </c>
      <c r="L22" s="30">
        <f>K22+L21</f>
        <v>64361030.773710296</v>
      </c>
      <c r="M22" s="30">
        <f>L22+M21</f>
        <v>66328792.969968587</v>
      </c>
      <c r="N22" s="30">
        <f>M22+N21</f>
        <v>131599977.79751833</v>
      </c>
    </row>
    <row r="23" spans="1:14">
      <c r="N23" s="1"/>
    </row>
    <row r="24" spans="1:14">
      <c r="A24" s="1" t="s">
        <v>305</v>
      </c>
      <c r="B24" s="32">
        <f>SUM(B6,B10,B18)</f>
        <v>2543290.2754600001</v>
      </c>
      <c r="C24" s="32">
        <f t="shared" ref="C24:K24" si="9">SUM(C6,C10,C18)</f>
        <v>2905034.1390899997</v>
      </c>
      <c r="D24" s="32">
        <f t="shared" si="9"/>
        <v>3108869.2565099997</v>
      </c>
      <c r="E24" s="32">
        <f t="shared" si="9"/>
        <v>4697324.7977</v>
      </c>
      <c r="F24" s="32">
        <f t="shared" si="9"/>
        <v>8005451.0794399995</v>
      </c>
      <c r="G24" s="32">
        <f t="shared" si="9"/>
        <v>10557350.44194</v>
      </c>
      <c r="H24" s="32">
        <f t="shared" si="9"/>
        <v>11726096.986979999</v>
      </c>
      <c r="I24" s="32">
        <f t="shared" si="9"/>
        <v>10401315.168450002</v>
      </c>
      <c r="J24" s="32">
        <f t="shared" si="9"/>
        <v>5051209.9066399997</v>
      </c>
      <c r="K24" s="32">
        <f t="shared" si="9"/>
        <v>3496121.2339399997</v>
      </c>
      <c r="L24" s="32">
        <f>SUM(L6,L10,L18)</f>
        <v>2417149.9932300001</v>
      </c>
      <c r="M24" s="32">
        <f>SUM(M6,M10,M18)</f>
        <v>1945597.19738</v>
      </c>
      <c r="N24" s="32">
        <f>SUM(N6,N10,N18)</f>
        <v>66854810.47676</v>
      </c>
    </row>
    <row r="25" spans="1:14">
      <c r="A25" s="1" t="s">
        <v>628</v>
      </c>
      <c r="B25" s="32">
        <f>B24</f>
        <v>2543290.2754600001</v>
      </c>
      <c r="C25" s="32">
        <f>B25+C24</f>
        <v>5448324.4145499999</v>
      </c>
      <c r="D25" s="32">
        <f t="shared" ref="D25:K25" si="10">C25+D24</f>
        <v>8557193.6710599996</v>
      </c>
      <c r="E25" s="32">
        <f t="shared" si="10"/>
        <v>13254518.468759999</v>
      </c>
      <c r="F25" s="32">
        <f t="shared" si="10"/>
        <v>21259969.548199996</v>
      </c>
      <c r="G25" s="32">
        <f t="shared" si="10"/>
        <v>31817319.990139998</v>
      </c>
      <c r="H25" s="32">
        <f t="shared" si="10"/>
        <v>43543416.977119997</v>
      </c>
      <c r="I25" s="32">
        <f t="shared" si="10"/>
        <v>53944732.145569995</v>
      </c>
      <c r="J25" s="32">
        <f t="shared" si="10"/>
        <v>58995942.052209996</v>
      </c>
      <c r="K25" s="32">
        <f t="shared" si="10"/>
        <v>62492063.286149994</v>
      </c>
      <c r="L25" s="32">
        <f>K25+L24</f>
        <v>64909213.279379994</v>
      </c>
      <c r="M25" s="32">
        <f>L25+M24</f>
        <v>66854810.476759993</v>
      </c>
      <c r="N25" s="32">
        <f>M25+N24</f>
        <v>133709620.95352</v>
      </c>
    </row>
    <row r="26" spans="1:14" ht="21" thickBot="1">
      <c r="N26" s="1"/>
    </row>
    <row r="27" spans="1:14" ht="21" thickBot="1">
      <c r="A27" s="1" t="s">
        <v>309</v>
      </c>
      <c r="B27" s="30">
        <f>B24-B21</f>
        <v>2604.3950411519036</v>
      </c>
      <c r="C27" s="331">
        <f t="shared" ref="C27:K27" si="11">C24-C21</f>
        <v>14654.915166787803</v>
      </c>
      <c r="D27" s="30">
        <f t="shared" si="11"/>
        <v>38417.040820645168</v>
      </c>
      <c r="E27" s="30">
        <f t="shared" si="11"/>
        <v>5581.5140944141895</v>
      </c>
      <c r="F27" s="30">
        <f t="shared" si="11"/>
        <v>21103.753394624218</v>
      </c>
      <c r="G27" s="30">
        <f t="shared" si="11"/>
        <v>98102.426672985777</v>
      </c>
      <c r="H27" s="30">
        <f t="shared" si="11"/>
        <v>-3112.1857669465244</v>
      </c>
      <c r="I27" s="30">
        <f t="shared" si="11"/>
        <v>-599.62360584549606</v>
      </c>
      <c r="J27" s="30">
        <f t="shared" si="11"/>
        <v>183434.6981583247</v>
      </c>
      <c r="K27" s="30">
        <f t="shared" si="11"/>
        <v>111785.654170366</v>
      </c>
      <c r="L27" s="30">
        <f t="shared" ref="L27:N28" si="12">L24-L21</f>
        <v>76209.917523194104</v>
      </c>
      <c r="M27" s="30">
        <f t="shared" si="12"/>
        <v>-22164.998878289247</v>
      </c>
      <c r="N27" s="30">
        <f t="shared" si="12"/>
        <v>1583625.6492102593</v>
      </c>
    </row>
    <row r="28" spans="1:14">
      <c r="A28" s="1" t="s">
        <v>629</v>
      </c>
      <c r="B28" s="30">
        <f>B25-B22</f>
        <v>2604.3950411519036</v>
      </c>
      <c r="C28" s="30">
        <f t="shared" ref="C28:K28" si="13">C25-C22</f>
        <v>17259.310207939707</v>
      </c>
      <c r="D28" s="30">
        <f t="shared" si="13"/>
        <v>55676.351028583944</v>
      </c>
      <c r="E28" s="30">
        <f t="shared" si="13"/>
        <v>61257.865122996271</v>
      </c>
      <c r="F28" s="30">
        <f t="shared" si="13"/>
        <v>82361.618517618626</v>
      </c>
      <c r="G28" s="30">
        <f t="shared" si="13"/>
        <v>180464.04519060627</v>
      </c>
      <c r="H28" s="30">
        <f t="shared" si="13"/>
        <v>177351.85942365974</v>
      </c>
      <c r="I28" s="30">
        <f t="shared" si="13"/>
        <v>176752.23581781238</v>
      </c>
      <c r="J28" s="30">
        <f t="shared" si="13"/>
        <v>360186.93397613615</v>
      </c>
      <c r="K28" s="30">
        <f t="shared" si="13"/>
        <v>471972.58814650029</v>
      </c>
      <c r="L28" s="30">
        <f t="shared" si="12"/>
        <v>548182.50566969812</v>
      </c>
      <c r="M28" s="30">
        <f t="shared" si="12"/>
        <v>526017.50679140538</v>
      </c>
      <c r="N28" s="30">
        <f t="shared" si="12"/>
        <v>2109643.1560016721</v>
      </c>
    </row>
  </sheetData>
  <phoneticPr fontId="10" type="noConversion"/>
  <pageMargins left="0.75" right="0.75" top="1" bottom="1" header="0.5" footer="0.5"/>
  <pageSetup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6">
    <pageSetUpPr fitToPage="1"/>
  </sheetPr>
  <dimension ref="A1:BI215"/>
  <sheetViews>
    <sheetView zoomScale="50" workbookViewId="0">
      <selection activeCell="S45" sqref="S45"/>
    </sheetView>
  </sheetViews>
  <sheetFormatPr defaultRowHeight="20.25"/>
  <cols>
    <col min="1" max="1" width="85" style="1" bestFit="1" customWidth="1"/>
    <col min="2" max="2" width="13.44140625" style="1" bestFit="1" customWidth="1"/>
    <col min="3" max="3" width="10.109375" style="1" bestFit="1" customWidth="1"/>
    <col min="4" max="4" width="11.88671875" style="1" bestFit="1" customWidth="1"/>
    <col min="5" max="9" width="12.109375" style="1" bestFit="1" customWidth="1"/>
    <col min="10" max="13" width="13.44140625" style="1" bestFit="1" customWidth="1"/>
    <col min="14" max="14" width="17.44140625" style="10" bestFit="1" customWidth="1"/>
    <col min="15" max="15" width="23.44140625" style="10" bestFit="1" customWidth="1"/>
    <col min="16" max="22" width="14.33203125" style="10" customWidth="1"/>
    <col min="23" max="23" width="8.88671875" style="1"/>
    <col min="24" max="24" width="85" style="1" bestFit="1" customWidth="1"/>
    <col min="25" max="25" width="12.109375" style="1" bestFit="1" customWidth="1"/>
    <col min="26" max="26" width="9.88671875" style="1" bestFit="1" customWidth="1"/>
    <col min="27" max="27" width="9.6640625" style="1" bestFit="1" customWidth="1"/>
    <col min="28" max="28" width="9" style="1" bestFit="1" customWidth="1"/>
    <col min="29" max="30" width="9.44140625" style="1" bestFit="1" customWidth="1"/>
    <col min="31" max="31" width="9.21875" style="1" bestFit="1" customWidth="1"/>
    <col min="32" max="32" width="9.44140625" style="1" bestFit="1" customWidth="1"/>
    <col min="33" max="33" width="9.6640625" style="1" bestFit="1" customWidth="1"/>
    <col min="34" max="34" width="9.44140625" style="1" bestFit="1" customWidth="1"/>
    <col min="35" max="35" width="9.88671875" style="1" bestFit="1" customWidth="1"/>
    <col min="36" max="36" width="9.44140625" style="1" bestFit="1" customWidth="1"/>
    <col min="37" max="38" width="9.44140625" style="1" customWidth="1"/>
    <col min="39" max="39" width="8.88671875" style="1"/>
    <col min="40" max="40" width="85" style="1" bestFit="1" customWidth="1"/>
    <col min="41" max="41" width="12.109375" style="1" bestFit="1" customWidth="1"/>
    <col min="42" max="42" width="11" style="1" bestFit="1" customWidth="1"/>
    <col min="43" max="43" width="9.6640625" style="1" bestFit="1" customWidth="1"/>
    <col min="44" max="44" width="9" style="1" bestFit="1" customWidth="1"/>
    <col min="45" max="46" width="9.44140625" style="1" bestFit="1" customWidth="1"/>
    <col min="47" max="47" width="9.21875" style="1" bestFit="1" customWidth="1"/>
    <col min="48" max="48" width="9.44140625" style="1" bestFit="1" customWidth="1"/>
    <col min="49" max="49" width="9.6640625" style="1" bestFit="1" customWidth="1"/>
    <col min="50" max="50" width="9.44140625" style="1" bestFit="1" customWidth="1"/>
    <col min="51" max="51" width="9.88671875" style="1" bestFit="1" customWidth="1"/>
    <col min="52" max="52" width="9.44140625" style="1" bestFit="1" customWidth="1"/>
    <col min="53" max="16384" width="8.88671875" style="1"/>
  </cols>
  <sheetData>
    <row r="1" spans="1:61">
      <c r="A1" s="33" t="s">
        <v>120</v>
      </c>
      <c r="B1" s="22">
        <v>1000000</v>
      </c>
      <c r="X1" s="33" t="s">
        <v>120</v>
      </c>
      <c r="Y1" s="22">
        <v>1000000</v>
      </c>
      <c r="AN1" s="33" t="s">
        <v>120</v>
      </c>
      <c r="AO1" s="22">
        <v>1000000</v>
      </c>
    </row>
    <row r="3" spans="1:61">
      <c r="A3" s="33" t="s">
        <v>543</v>
      </c>
      <c r="B3" s="142">
        <v>40725</v>
      </c>
      <c r="C3" s="142">
        <v>40756</v>
      </c>
      <c r="D3" s="142">
        <v>40787</v>
      </c>
      <c r="E3" s="142">
        <v>40817</v>
      </c>
      <c r="F3" s="142">
        <v>40848</v>
      </c>
      <c r="G3" s="142">
        <v>40878</v>
      </c>
      <c r="H3" s="142">
        <v>40909</v>
      </c>
      <c r="I3" s="142">
        <v>40940</v>
      </c>
      <c r="J3" s="142">
        <v>40969</v>
      </c>
      <c r="K3" s="142">
        <v>41000</v>
      </c>
      <c r="L3" s="142">
        <v>41030</v>
      </c>
      <c r="M3" s="142">
        <v>41061</v>
      </c>
      <c r="N3" s="12">
        <v>1112</v>
      </c>
      <c r="O3" s="12"/>
      <c r="P3" s="12"/>
      <c r="Q3" s="12"/>
      <c r="R3" s="12"/>
      <c r="S3" s="12"/>
      <c r="T3" s="12"/>
      <c r="U3" s="12"/>
      <c r="V3" s="12"/>
      <c r="W3" s="142"/>
      <c r="X3" s="33" t="s">
        <v>543</v>
      </c>
      <c r="Y3" s="142">
        <v>41091</v>
      </c>
      <c r="Z3" s="142">
        <v>41122</v>
      </c>
      <c r="AA3" s="142">
        <v>41153</v>
      </c>
      <c r="AB3" s="142">
        <v>41183</v>
      </c>
      <c r="AC3" s="142">
        <v>41214</v>
      </c>
      <c r="AD3" s="142">
        <v>41244</v>
      </c>
      <c r="AE3" s="142">
        <v>41275</v>
      </c>
      <c r="AF3" s="142">
        <v>41306</v>
      </c>
      <c r="AG3" s="142">
        <v>41334</v>
      </c>
      <c r="AH3" s="142">
        <v>41365</v>
      </c>
      <c r="AI3" s="142">
        <v>41395</v>
      </c>
      <c r="AJ3" s="142">
        <v>41426</v>
      </c>
      <c r="AK3" s="12" t="s">
        <v>881</v>
      </c>
      <c r="AL3" s="142"/>
      <c r="AM3" s="142"/>
      <c r="AN3" s="33" t="s">
        <v>320</v>
      </c>
      <c r="AO3" s="142">
        <v>41456</v>
      </c>
      <c r="AP3" s="142">
        <v>41487</v>
      </c>
      <c r="AQ3" s="142">
        <v>41518</v>
      </c>
      <c r="AR3" s="142">
        <v>41548</v>
      </c>
      <c r="AS3" s="142">
        <v>41579</v>
      </c>
      <c r="AT3" s="142">
        <v>41609</v>
      </c>
      <c r="AU3" s="142">
        <v>41640</v>
      </c>
      <c r="AV3" s="142">
        <v>41671</v>
      </c>
      <c r="AW3" s="142">
        <v>41699</v>
      </c>
      <c r="AX3" s="142">
        <v>41730</v>
      </c>
      <c r="AY3" s="142">
        <v>41760</v>
      </c>
      <c r="AZ3" s="142">
        <v>41791</v>
      </c>
      <c r="BA3" s="12" t="s">
        <v>912</v>
      </c>
      <c r="BB3" s="142"/>
      <c r="BC3" s="142"/>
      <c r="BD3" s="142"/>
      <c r="BE3" s="142"/>
      <c r="BF3" s="142"/>
      <c r="BG3" s="142"/>
      <c r="BH3" s="142"/>
      <c r="BI3" s="142"/>
    </row>
    <row r="4" spans="1:61">
      <c r="A4" s="4" t="s">
        <v>609</v>
      </c>
      <c r="B4" s="16">
        <f>+'YR REPORTS'!D36</f>
        <v>3.8413362817313059</v>
      </c>
      <c r="C4" s="16">
        <f>+'YR REPORTS'!E36</f>
        <v>3.9827278428716819</v>
      </c>
      <c r="D4" s="16">
        <f>+'YR REPORTS'!F36</f>
        <v>3.4646019923734803</v>
      </c>
      <c r="E4" s="16">
        <f>+'YR REPORTS'!G36</f>
        <v>4.4000271562770594</v>
      </c>
      <c r="F4" s="16">
        <f>+'YR REPORTS'!H36</f>
        <v>3.5853008051364541</v>
      </c>
      <c r="G4" s="16">
        <f>+'YR REPORTS'!I36</f>
        <v>4.0344246610219177</v>
      </c>
      <c r="H4" s="16">
        <f>+'YR REPORTS'!J36</f>
        <v>4.4147304044133326</v>
      </c>
      <c r="I4" s="16">
        <f>+'YR REPORTS'!K36</f>
        <v>3.8863900600224532</v>
      </c>
      <c r="J4" s="16">
        <f>+'YR REPORTS'!L36</f>
        <v>3.8487363371247243</v>
      </c>
      <c r="K4" s="16">
        <f>+'YR REPORTS'!M36</f>
        <v>3.5704380200086798</v>
      </c>
      <c r="L4" s="16">
        <f>+'YR REPORTS'!N36</f>
        <v>1.7460450418390023</v>
      </c>
      <c r="M4" s="16">
        <f>+'YR REPORTS'!O36</f>
        <v>2.2673894018080398</v>
      </c>
      <c r="N4" s="16">
        <f>+'YR REPORTS'!P36</f>
        <v>3.8382406141891927</v>
      </c>
      <c r="O4" s="12"/>
      <c r="P4" s="12"/>
      <c r="Q4" s="12"/>
      <c r="R4" s="12"/>
      <c r="S4" s="12"/>
      <c r="T4" s="12"/>
      <c r="U4" s="12"/>
      <c r="V4" s="12"/>
      <c r="W4" s="142"/>
      <c r="X4" s="4" t="s">
        <v>541</v>
      </c>
      <c r="Y4" s="16">
        <f>+'YR REPORTS'!U36</f>
        <v>3.6158963699748297</v>
      </c>
      <c r="Z4" s="16">
        <f>+'YR REPORTS'!V36</f>
        <v>3.8699121536239725</v>
      </c>
      <c r="AA4" s="16">
        <f>+'YR REPORTS'!W36</f>
        <v>3.9474414183134257</v>
      </c>
      <c r="AB4" s="16">
        <f>+'YR REPORTS'!X36</f>
        <v>3.8942459775430827</v>
      </c>
      <c r="AC4" s="16">
        <f>+'YR REPORTS'!Y36</f>
        <v>3.8904286867073017</v>
      </c>
      <c r="AD4" s="16">
        <f>+'YR REPORTS'!Z36</f>
        <v>4.0059650589163756</v>
      </c>
      <c r="AE4" s="16">
        <f>+'YR REPORTS'!AA36</f>
        <v>4.0740397389063521</v>
      </c>
      <c r="AF4" s="16">
        <f>+'YR REPORTS'!AB36</f>
        <v>4.0895175116272853</v>
      </c>
      <c r="AG4" s="16">
        <f>+'YR REPORTS'!AC36</f>
        <v>4.1767580710787833</v>
      </c>
      <c r="AH4" s="16">
        <f>+'YR REPORTS'!AD36</f>
        <v>4.2214621115661446</v>
      </c>
      <c r="AI4" s="16">
        <f>+'YR REPORTS'!AE36</f>
        <v>3.8697134543740153</v>
      </c>
      <c r="AJ4" s="16">
        <f>+'YR REPORTS'!AF36</f>
        <v>3.8310591483781691</v>
      </c>
      <c r="AK4" s="16">
        <f>+'YR REPORTS'!AG36</f>
        <v>4.0222214683502884</v>
      </c>
      <c r="AL4" s="16"/>
      <c r="AM4" s="142"/>
      <c r="AN4" s="33"/>
      <c r="AO4" s="142"/>
      <c r="AP4" s="142"/>
      <c r="AQ4" s="142"/>
      <c r="AR4" s="142"/>
      <c r="AS4" s="142"/>
      <c r="AT4" s="142"/>
      <c r="AU4" s="142"/>
      <c r="AV4" s="142"/>
      <c r="AW4" s="142"/>
      <c r="AX4" s="142"/>
      <c r="AY4" s="142"/>
      <c r="AZ4" s="142"/>
      <c r="BA4" s="142"/>
      <c r="BB4" s="142"/>
      <c r="BC4" s="142"/>
      <c r="BD4" s="142"/>
      <c r="BE4" s="142"/>
      <c r="BF4" s="142"/>
      <c r="BG4" s="142"/>
      <c r="BH4" s="142"/>
      <c r="BI4" s="142"/>
    </row>
    <row r="5" spans="1:61">
      <c r="A5" s="1" t="s">
        <v>610</v>
      </c>
      <c r="B5" s="16">
        <f>+'YR REPORTS'!D38</f>
        <v>7.6314099201946286</v>
      </c>
      <c r="C5" s="16">
        <f>+'YR REPORTS'!E38</f>
        <v>6.4034200867325666</v>
      </c>
      <c r="D5" s="16">
        <f>+'YR REPORTS'!F38</f>
        <v>5.6918766757799455</v>
      </c>
      <c r="E5" s="16">
        <f>+'YR REPORTS'!G38</f>
        <v>3.3324417361040783</v>
      </c>
      <c r="F5" s="16">
        <f>+'YR REPORTS'!H38</f>
        <v>1.6648397343904353</v>
      </c>
      <c r="G5" s="16">
        <f>+'YR REPORTS'!I38</f>
        <v>1.1247182288421838</v>
      </c>
      <c r="H5" s="16">
        <f>+'YR REPORTS'!J38</f>
        <v>0.98784358780326376</v>
      </c>
      <c r="I5" s="16">
        <f>+'YR REPORTS'!K38</f>
        <v>1.1236051927069604</v>
      </c>
      <c r="J5" s="16">
        <f>+'YR REPORTS'!L38</f>
        <v>2.3463217937002581</v>
      </c>
      <c r="K5" s="16">
        <f>+'YR REPORTS'!M38</f>
        <v>2.9919491597073931</v>
      </c>
      <c r="L5" s="16">
        <f>+'YR REPORTS'!N38</f>
        <v>4.801833238134277</v>
      </c>
      <c r="M5" s="16">
        <f>+'YR REPORTS'!O38</f>
        <v>6.221396104374433</v>
      </c>
      <c r="N5" s="16">
        <f>+'YR REPORTS'!P38</f>
        <v>2.203383382708954</v>
      </c>
      <c r="O5" s="12"/>
      <c r="P5" s="12"/>
      <c r="Q5" s="12"/>
      <c r="R5" s="12"/>
      <c r="S5" s="12"/>
      <c r="T5" s="12"/>
      <c r="U5" s="12"/>
      <c r="V5" s="12"/>
      <c r="W5" s="142"/>
      <c r="X5" s="1" t="s">
        <v>542</v>
      </c>
      <c r="Y5" s="16">
        <f>+'YR REPORTS'!U38</f>
        <v>6.6210739491397197</v>
      </c>
      <c r="Z5" s="16">
        <f>+'YR REPORTS'!V38</f>
        <v>6.6210739491397197</v>
      </c>
      <c r="AA5" s="16">
        <f>+'YR REPORTS'!W38</f>
        <v>5.5458765803786489</v>
      </c>
      <c r="AB5" s="16">
        <f>+'YR REPORTS'!X38</f>
        <v>2.6285178298367717</v>
      </c>
      <c r="AC5" s="16">
        <f>+'YR REPORTS'!Y38</f>
        <v>1.5634119475514643</v>
      </c>
      <c r="AD5" s="16">
        <f>+'YR REPORTS'!Z38</f>
        <v>1.0058247075036169</v>
      </c>
      <c r="AE5" s="16">
        <f>+'YR REPORTS'!AA38</f>
        <v>0.90957631442244213</v>
      </c>
      <c r="AF5" s="16">
        <f>+'YR REPORTS'!AB38</f>
        <v>1.1105936966865528</v>
      </c>
      <c r="AG5" s="16">
        <f>+'YR REPORTS'!AC38</f>
        <v>1.3730437155959851</v>
      </c>
      <c r="AH5" s="16">
        <f>+'YR REPORTS'!AD38</f>
        <v>2.1672141288888889</v>
      </c>
      <c r="AI5" s="16">
        <f>+'YR REPORTS'!AE38</f>
        <v>4.0283860172129433</v>
      </c>
      <c r="AJ5" s="16">
        <f>+'YR REPORTS'!AF38</f>
        <v>6.5475532061718473</v>
      </c>
      <c r="AK5" s="16">
        <f>+'YR REPORTS'!AG38</f>
        <v>1.9021616174250227</v>
      </c>
      <c r="AL5" s="16"/>
      <c r="AM5" s="142"/>
      <c r="AN5" s="33"/>
      <c r="AO5" s="142"/>
      <c r="AP5" s="142"/>
      <c r="AQ5" s="142"/>
      <c r="AR5" s="142"/>
      <c r="AS5" s="142"/>
      <c r="AT5" s="142"/>
      <c r="AU5" s="142"/>
      <c r="AV5" s="142"/>
      <c r="AW5" s="142"/>
      <c r="AX5" s="142"/>
      <c r="AY5" s="142"/>
      <c r="AZ5" s="142"/>
      <c r="BA5" s="142"/>
      <c r="BB5" s="142"/>
      <c r="BC5" s="142"/>
      <c r="BD5" s="142"/>
      <c r="BE5" s="142"/>
      <c r="BF5" s="142"/>
      <c r="BG5" s="142"/>
      <c r="BH5" s="142"/>
      <c r="BI5" s="142"/>
    </row>
    <row r="6" spans="1:61">
      <c r="A6" s="4" t="s">
        <v>611</v>
      </c>
      <c r="B6" s="16">
        <f>+'YR REPORTS'!D39</f>
        <v>11.472746201925935</v>
      </c>
      <c r="C6" s="16">
        <f>+'YR REPORTS'!E39</f>
        <v>10.386147929604249</v>
      </c>
      <c r="D6" s="16">
        <f>+'YR REPORTS'!F39</f>
        <v>9.1564786681534258</v>
      </c>
      <c r="E6" s="16">
        <f>+'YR REPORTS'!G39</f>
        <v>7.7324688923811378</v>
      </c>
      <c r="F6" s="16">
        <f>+'YR REPORTS'!H39</f>
        <v>5.250140539526889</v>
      </c>
      <c r="G6" s="16">
        <f>+'YR REPORTS'!I39</f>
        <v>5.1591428898641016</v>
      </c>
      <c r="H6" s="16">
        <f>+'YR REPORTS'!J39</f>
        <v>5.4025739922165963</v>
      </c>
      <c r="I6" s="16">
        <f>+'YR REPORTS'!K39</f>
        <v>5.0099952527294134</v>
      </c>
      <c r="J6" s="16">
        <f>+'YR REPORTS'!L39</f>
        <v>6.1950581308249824</v>
      </c>
      <c r="K6" s="16">
        <f>+'YR REPORTS'!M39</f>
        <v>6.5623871797160724</v>
      </c>
      <c r="L6" s="16">
        <f>+'YR REPORTS'!N39</f>
        <v>6.5478782799732791</v>
      </c>
      <c r="M6" s="16">
        <f>+'YR REPORTS'!O39</f>
        <v>8.4887855061824737</v>
      </c>
      <c r="N6" s="16">
        <f>+'YR REPORTS'!P39</f>
        <v>6.0416239968981467</v>
      </c>
      <c r="O6" s="16"/>
      <c r="P6" s="16"/>
      <c r="Q6" s="16"/>
      <c r="R6" s="16"/>
      <c r="S6" s="16"/>
      <c r="T6" s="16"/>
      <c r="U6" s="16"/>
      <c r="V6" s="16"/>
      <c r="W6" s="16"/>
      <c r="X6" s="4" t="s">
        <v>370</v>
      </c>
      <c r="Y6" s="16">
        <f>+'YR REPORTS'!U39</f>
        <v>10.236970319114549</v>
      </c>
      <c r="Z6" s="16">
        <f>+'YR REPORTS'!V39</f>
        <v>10.490986102763692</v>
      </c>
      <c r="AA6" s="16">
        <f>+'YR REPORTS'!W39</f>
        <v>9.4933179986920742</v>
      </c>
      <c r="AB6" s="16">
        <f>+'YR REPORTS'!X39</f>
        <v>6.5227638073798548</v>
      </c>
      <c r="AC6" s="16">
        <f>+'YR REPORTS'!Y39</f>
        <v>5.453840634258766</v>
      </c>
      <c r="AD6" s="16">
        <f>+'YR REPORTS'!Z39</f>
        <v>5.0117897664199926</v>
      </c>
      <c r="AE6" s="16">
        <f>+'YR REPORTS'!AA39</f>
        <v>4.9836160533287943</v>
      </c>
      <c r="AF6" s="16">
        <f>+'YR REPORTS'!AB39</f>
        <v>5.2001112083138379</v>
      </c>
      <c r="AG6" s="16">
        <f>+'YR REPORTS'!AC39</f>
        <v>5.5498017866747684</v>
      </c>
      <c r="AH6" s="16">
        <f>+'YR REPORTS'!AD39</f>
        <v>6.3886762404550339</v>
      </c>
      <c r="AI6" s="16">
        <f>+'YR REPORTS'!AE39</f>
        <v>7.8980994715869581</v>
      </c>
      <c r="AJ6" s="16">
        <f>+'YR REPORTS'!AF39</f>
        <v>10.378612354550016</v>
      </c>
      <c r="AK6" s="16">
        <f>+'YR REPORTS'!AG39</f>
        <v>5.924383085775311</v>
      </c>
      <c r="AL6" s="16"/>
      <c r="AN6" s="4" t="s">
        <v>149</v>
      </c>
      <c r="AO6" s="16">
        <f>+'YR REPORTS'!AK39</f>
        <v>10.625119270750009</v>
      </c>
      <c r="AP6" s="16">
        <f>+'YR REPORTS'!AL39</f>
        <v>10.649980090984011</v>
      </c>
      <c r="AQ6" s="16">
        <f>+'YR REPORTS'!AM39</f>
        <v>9.6067797751109083</v>
      </c>
      <c r="AR6" s="16">
        <f>+'YR REPORTS'!AN39</f>
        <v>6.7962697670194618</v>
      </c>
      <c r="AS6" s="16">
        <f>+'YR REPORTS'!AO39</f>
        <v>5.8850012540090848</v>
      </c>
      <c r="AT6" s="16">
        <f>+'YR REPORTS'!AP39</f>
        <v>5.3177936218811981</v>
      </c>
      <c r="AU6" s="16">
        <f>+'YR REPORTS'!AQ39</f>
        <v>5.2830775568881556</v>
      </c>
      <c r="AV6" s="16">
        <f>+'YR REPORTS'!AR39</f>
        <v>5.4695397794422576</v>
      </c>
      <c r="AW6" s="16">
        <f>+'YR REPORTS'!AS39</f>
        <v>5.8182004243684391</v>
      </c>
      <c r="AX6" s="16">
        <f>+'YR REPORTS'!AT39</f>
        <v>6.5598886787182522</v>
      </c>
      <c r="AY6" s="16">
        <f>+'YR REPORTS'!AU39</f>
        <v>8.401326861936143</v>
      </c>
      <c r="AZ6" s="16">
        <f>+'YR REPORTS'!AV39</f>
        <v>10.889559686868429</v>
      </c>
    </row>
    <row r="7" spans="1:61">
      <c r="A7" s="4" t="s">
        <v>612</v>
      </c>
      <c r="B7" s="16">
        <f>+'YR REPORTS'!D41</f>
        <v>1.8934005074735722</v>
      </c>
      <c r="C7" s="16">
        <f>+'YR REPORTS'!E41</f>
        <v>1.8934005074735722</v>
      </c>
      <c r="D7" s="16">
        <f>+'YR REPORTS'!F41</f>
        <v>1.8934005074735722</v>
      </c>
      <c r="E7" s="16">
        <f>+'YR REPORTS'!G41</f>
        <v>1.8934005074735722</v>
      </c>
      <c r="F7" s="16">
        <f>+'YR REPORTS'!H41</f>
        <v>1.8934005074735722</v>
      </c>
      <c r="G7" s="16">
        <f>+'YR REPORTS'!I41</f>
        <v>1.8934005074735722</v>
      </c>
      <c r="H7" s="16">
        <f>+'YR REPORTS'!J41</f>
        <v>1.8934005074735722</v>
      </c>
      <c r="I7" s="16">
        <f>+'YR REPORTS'!K41</f>
        <v>1.8934005074735722</v>
      </c>
      <c r="J7" s="16">
        <f>+'YR REPORTS'!L41</f>
        <v>1.8934005074735722</v>
      </c>
      <c r="K7" s="16">
        <f>+'YR REPORTS'!M41</f>
        <v>1.8934005074735722</v>
      </c>
      <c r="L7" s="16">
        <f>+'YR REPORTS'!N41</f>
        <v>1.8934005074735722</v>
      </c>
      <c r="M7" s="16">
        <f>+'YR REPORTS'!O41</f>
        <v>1.8934005074735722</v>
      </c>
      <c r="N7" s="16">
        <f>+'YR REPORTS'!P41</f>
        <v>1.8934005074735722</v>
      </c>
      <c r="O7" s="16"/>
      <c r="P7" s="16"/>
      <c r="Q7" s="16"/>
      <c r="R7" s="16"/>
      <c r="S7" s="16"/>
      <c r="T7" s="16"/>
      <c r="U7" s="16"/>
      <c r="V7" s="16"/>
      <c r="W7" s="16"/>
      <c r="X7" s="4" t="s">
        <v>612</v>
      </c>
      <c r="Y7" s="16">
        <f>+'YR REPORTS'!U41</f>
        <v>1.9021616174250227</v>
      </c>
      <c r="Z7" s="16">
        <f>+'YR REPORTS'!V41</f>
        <v>1.9021616174250227</v>
      </c>
      <c r="AA7" s="16">
        <f>+'YR REPORTS'!W41</f>
        <v>1.9021616174250227</v>
      </c>
      <c r="AB7" s="16">
        <f>+'YR REPORTS'!X41</f>
        <v>1.9021616174250227</v>
      </c>
      <c r="AC7" s="16">
        <f>+'YR REPORTS'!Y41</f>
        <v>1.9021616174250227</v>
      </c>
      <c r="AD7" s="16">
        <f>+'YR REPORTS'!Z41</f>
        <v>1.9021616174250227</v>
      </c>
      <c r="AE7" s="16">
        <f>+'YR REPORTS'!AA41</f>
        <v>1.9021616174250227</v>
      </c>
      <c r="AF7" s="16">
        <f>+'YR REPORTS'!AB41</f>
        <v>1.9021616174250227</v>
      </c>
      <c r="AG7" s="16">
        <f>+'YR REPORTS'!AC41</f>
        <v>1.9021616174250227</v>
      </c>
      <c r="AH7" s="16">
        <f>+'YR REPORTS'!AD41</f>
        <v>1.9021616174250227</v>
      </c>
      <c r="AI7" s="16">
        <f>+'YR REPORTS'!AE41</f>
        <v>1.9021616174250227</v>
      </c>
      <c r="AJ7" s="16">
        <f>+'YR REPORTS'!AF41</f>
        <v>1.9021616174250227</v>
      </c>
      <c r="AK7" s="16">
        <f>+'YR REPORTS'!AG41</f>
        <v>1.9021616174250227</v>
      </c>
      <c r="AL7" s="16"/>
      <c r="AN7" s="4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</row>
    <row r="8" spans="1:61">
      <c r="A8" s="4" t="s">
        <v>371</v>
      </c>
      <c r="B8" s="16">
        <f>+'YR REPORTS'!D77</f>
        <v>6.5</v>
      </c>
      <c r="C8" s="16">
        <f>+'YR REPORTS'!E77</f>
        <v>6.5</v>
      </c>
      <c r="D8" s="16">
        <f>+'YR REPORTS'!F77</f>
        <v>6.5</v>
      </c>
      <c r="E8" s="16">
        <f>+'YR REPORTS'!G77</f>
        <v>6.5</v>
      </c>
      <c r="F8" s="16">
        <f>+'YR REPORTS'!H77</f>
        <v>6.5</v>
      </c>
      <c r="G8" s="16">
        <f>+'YR REPORTS'!I77</f>
        <v>6</v>
      </c>
      <c r="H8" s="16">
        <f>+'YR REPORTS'!J77</f>
        <v>6</v>
      </c>
      <c r="I8" s="16">
        <f>+'YR REPORTS'!K77</f>
        <v>6</v>
      </c>
      <c r="J8" s="16">
        <f>+'YR REPORTS'!L77</f>
        <v>5</v>
      </c>
      <c r="K8" s="16">
        <f>+'YR REPORTS'!M77</f>
        <v>5</v>
      </c>
      <c r="L8" s="16">
        <f>+'YR REPORTS'!N77</f>
        <v>5</v>
      </c>
      <c r="M8" s="16">
        <f>+'YR REPORTS'!O77</f>
        <v>5</v>
      </c>
      <c r="N8" s="16">
        <f>+'YR REPORTS'!P77</f>
        <v>5.919945423770602</v>
      </c>
      <c r="O8" s="16"/>
      <c r="P8" s="16"/>
      <c r="Q8" s="16"/>
      <c r="R8" s="16"/>
      <c r="S8" s="16"/>
      <c r="T8" s="16"/>
      <c r="U8" s="16"/>
      <c r="V8" s="16"/>
      <c r="W8" s="16"/>
      <c r="X8" s="4" t="s">
        <v>371</v>
      </c>
      <c r="Y8" s="16">
        <f>+'YR REPORTS'!U77</f>
        <v>5</v>
      </c>
      <c r="Z8" s="16">
        <f>+'YR REPORTS'!V77</f>
        <v>5</v>
      </c>
      <c r="AA8" s="16">
        <f>+'YR REPORTS'!W77</f>
        <v>5</v>
      </c>
      <c r="AB8" s="16">
        <f>+'YR REPORTS'!X77</f>
        <v>5</v>
      </c>
      <c r="AC8" s="16">
        <f>+'YR REPORTS'!Y77</f>
        <v>5</v>
      </c>
      <c r="AD8" s="16">
        <f>+'YR REPORTS'!Z77</f>
        <v>5</v>
      </c>
      <c r="AE8" s="16">
        <f>+'YR REPORTS'!AA77</f>
        <v>5</v>
      </c>
      <c r="AF8" s="16">
        <f>+'YR REPORTS'!AB77</f>
        <v>5</v>
      </c>
      <c r="AG8" s="16">
        <f>+'YR REPORTS'!AC77</f>
        <v>5</v>
      </c>
      <c r="AH8" s="16">
        <f>+'YR REPORTS'!AD77</f>
        <v>5</v>
      </c>
      <c r="AI8" s="16">
        <f>+'YR REPORTS'!AE77</f>
        <v>5</v>
      </c>
      <c r="AJ8" s="16">
        <f>+'YR REPORTS'!AF77</f>
        <v>5</v>
      </c>
      <c r="AK8" s="16">
        <f>+'YR REPORTS'!AG77</f>
        <v>5</v>
      </c>
      <c r="AL8" s="16"/>
      <c r="AN8" s="4" t="s">
        <v>150</v>
      </c>
      <c r="AO8" s="16">
        <f>+'YR REPORTS'!AK77</f>
        <v>5</v>
      </c>
      <c r="AP8" s="16">
        <f>+'YR REPORTS'!AL77</f>
        <v>5</v>
      </c>
      <c r="AQ8" s="16">
        <f>+'YR REPORTS'!AM77</f>
        <v>5</v>
      </c>
      <c r="AR8" s="16">
        <f>+'YR REPORTS'!AN77</f>
        <v>5</v>
      </c>
      <c r="AS8" s="16">
        <f>+'YR REPORTS'!AO77</f>
        <v>5</v>
      </c>
      <c r="AT8" s="16">
        <f>+'YR REPORTS'!AP77</f>
        <v>5</v>
      </c>
      <c r="AU8" s="16">
        <f>+'YR REPORTS'!AQ77</f>
        <v>5</v>
      </c>
      <c r="AV8" s="16">
        <f>+'YR REPORTS'!AR77</f>
        <v>5</v>
      </c>
      <c r="AW8" s="16">
        <f>+'YR REPORTS'!AS77</f>
        <v>5</v>
      </c>
      <c r="AX8" s="16">
        <f>+'YR REPORTS'!AT77</f>
        <v>5</v>
      </c>
      <c r="AY8" s="16">
        <f>+'YR REPORTS'!AU77</f>
        <v>5</v>
      </c>
      <c r="AZ8" s="16">
        <f>+'YR REPORTS'!AV77</f>
        <v>5</v>
      </c>
    </row>
    <row r="9" spans="1:61">
      <c r="A9" s="1" t="s">
        <v>372</v>
      </c>
      <c r="B9" s="16">
        <f>+'YR REPORTS'!D47</f>
        <v>5.7347367892048782</v>
      </c>
      <c r="C9" s="16">
        <f>+'YR REPORTS'!E47</f>
        <v>5.8761283503452546</v>
      </c>
      <c r="D9" s="16">
        <f>+'YR REPORTS'!F47</f>
        <v>5.3580024998470526</v>
      </c>
      <c r="E9" s="16">
        <f>+'YR REPORTS'!G47</f>
        <v>6.2934276637506317</v>
      </c>
      <c r="F9" s="16">
        <f>+'YR REPORTS'!H47</f>
        <v>5.4787013126100259</v>
      </c>
      <c r="G9" s="16">
        <f>+'YR REPORTS'!I47</f>
        <v>5.9278251684954899</v>
      </c>
      <c r="H9" s="16">
        <f>+'YR REPORTS'!J47</f>
        <v>6.3081309118869049</v>
      </c>
      <c r="I9" s="16">
        <f>+'YR REPORTS'!K47</f>
        <v>5.7797905674960255</v>
      </c>
      <c r="J9" s="16">
        <f>+'YR REPORTS'!L47</f>
        <v>5.7421368445982965</v>
      </c>
      <c r="K9" s="16">
        <f>+'YR REPORTS'!M47</f>
        <v>5.4638385274822525</v>
      </c>
      <c r="L9" s="16">
        <f>+'YR REPORTS'!N47</f>
        <v>3.6394455493125744</v>
      </c>
      <c r="M9" s="16">
        <f>+'YR REPORTS'!O47</f>
        <v>4.1607899092816121</v>
      </c>
      <c r="N9" s="16">
        <f>+'YR REPORTS'!P47</f>
        <v>5.731641121662765</v>
      </c>
      <c r="O9" s="16"/>
      <c r="P9" s="16"/>
      <c r="Q9" s="16"/>
      <c r="R9" s="16"/>
      <c r="S9" s="16"/>
      <c r="T9" s="16"/>
      <c r="U9" s="16"/>
      <c r="V9" s="16"/>
      <c r="W9" s="16"/>
      <c r="X9" s="1" t="s">
        <v>372</v>
      </c>
      <c r="Y9" s="16">
        <f>+'YR REPORTS'!U47</f>
        <v>5.5180579873998523</v>
      </c>
      <c r="Z9" s="16">
        <f>+'YR REPORTS'!V47</f>
        <v>5.7720737710489951</v>
      </c>
      <c r="AA9" s="16">
        <f>+'YR REPORTS'!W47</f>
        <v>5.8496030357384488</v>
      </c>
      <c r="AB9" s="16">
        <f>+'YR REPORTS'!X47</f>
        <v>5.7964075949681053</v>
      </c>
      <c r="AC9" s="16">
        <f>+'YR REPORTS'!Y47</f>
        <v>5.7925903041323243</v>
      </c>
      <c r="AD9" s="16">
        <f>+'YR REPORTS'!Z47</f>
        <v>5.9081266763413982</v>
      </c>
      <c r="AE9" s="16">
        <f>+'YR REPORTS'!AA47</f>
        <v>5.9762013563313747</v>
      </c>
      <c r="AF9" s="16">
        <f>+'YR REPORTS'!AB47</f>
        <v>5.9916791290523079</v>
      </c>
      <c r="AG9" s="16">
        <f>+'YR REPORTS'!AC47</f>
        <v>6.0789196885038059</v>
      </c>
      <c r="AH9" s="16">
        <f>+'YR REPORTS'!AD47</f>
        <v>6.1236237289911672</v>
      </c>
      <c r="AI9" s="16">
        <f>+'YR REPORTS'!AE47</f>
        <v>5.7718750717990375</v>
      </c>
      <c r="AJ9" s="16">
        <f>+'YR REPORTS'!AF47</f>
        <v>5.7332207658031917</v>
      </c>
      <c r="AK9" s="16">
        <f>+'YR REPORTS'!AG47</f>
        <v>5.924383085775311</v>
      </c>
      <c r="AL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</row>
    <row r="10" spans="1:61">
      <c r="A10" s="1" t="s">
        <v>462</v>
      </c>
      <c r="B10" s="16">
        <f>+'FT GAS'!G109</f>
        <v>4.3570000000000002</v>
      </c>
      <c r="C10" s="16">
        <f>+'FT GAS'!H109</f>
        <v>4.32</v>
      </c>
      <c r="D10" s="16">
        <f>+'FT GAS'!I109</f>
        <v>3.8570000000000002</v>
      </c>
      <c r="E10" s="16">
        <f>+'FT GAS'!J109</f>
        <v>3.7589999999999999</v>
      </c>
      <c r="F10" s="16">
        <f>+'FT GAS'!K109</f>
        <v>3.524</v>
      </c>
      <c r="G10" s="16">
        <f>+'FT GAS'!L109</f>
        <v>3.3639999999999999</v>
      </c>
      <c r="H10" s="16">
        <f>+'FT GAS'!M109</f>
        <v>3.0840000000000001</v>
      </c>
      <c r="I10" s="16">
        <f>+'FT GAS'!N109</f>
        <v>2.6779999999999999</v>
      </c>
      <c r="J10" s="16">
        <f>+'FT GAS'!O109</f>
        <v>2.4460000000000002</v>
      </c>
      <c r="K10" s="16">
        <f>+'FT GAS'!P109</f>
        <v>2.1909999999999998</v>
      </c>
      <c r="L10" s="16">
        <f>+'FT GAS'!Q109</f>
        <v>2.036</v>
      </c>
      <c r="M10" s="16">
        <f>+'FT GAS'!R109</f>
        <v>2.4289999999999998</v>
      </c>
      <c r="N10" s="16">
        <f>+'FT GAS'!S109</f>
        <v>3.0968259373721563</v>
      </c>
      <c r="O10" s="16"/>
      <c r="P10" s="16"/>
      <c r="Q10" s="16"/>
      <c r="R10" s="16"/>
      <c r="S10" s="16"/>
      <c r="T10" s="16"/>
      <c r="U10" s="16"/>
      <c r="V10" s="16"/>
      <c r="W10" s="16"/>
      <c r="X10" s="1" t="s">
        <v>462</v>
      </c>
      <c r="Y10" s="16">
        <f>+'FT GAS'!X109</f>
        <v>2.774</v>
      </c>
      <c r="Z10" s="16">
        <f>+'FT GAS'!Y109</f>
        <v>3.081</v>
      </c>
      <c r="AA10" s="16">
        <f>+'FT GAS'!Z109</f>
        <v>3.0760000000000001</v>
      </c>
      <c r="AB10" s="16">
        <f>+'FT GAS'!AA109</f>
        <v>3.0830000000000002</v>
      </c>
      <c r="AC10" s="16">
        <f>+'FT GAS'!AB109</f>
        <v>3.2189999999999999</v>
      </c>
      <c r="AD10" s="16">
        <f>+'FT GAS'!AC109</f>
        <v>3.4510000000000001</v>
      </c>
      <c r="AE10" s="16">
        <f>+'FT GAS'!AD109</f>
        <v>3.581</v>
      </c>
      <c r="AF10" s="16">
        <f>+'FT GAS'!AE109</f>
        <v>3.5870000000000002</v>
      </c>
      <c r="AG10" s="16">
        <f>+'FT GAS'!AF109</f>
        <v>3.5449999999999999</v>
      </c>
      <c r="AH10" s="16">
        <f>+'FT GAS'!AG109</f>
        <v>3.5070000000000001</v>
      </c>
      <c r="AI10" s="16">
        <f>+'FT GAS'!AH109</f>
        <v>3.5249999999999999</v>
      </c>
      <c r="AJ10" s="16">
        <f>+'FT GAS'!AI109</f>
        <v>3.56</v>
      </c>
      <c r="AK10" s="16"/>
      <c r="AL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</row>
    <row r="11" spans="1:61">
      <c r="A11" s="1" t="s">
        <v>935</v>
      </c>
      <c r="B11" s="16">
        <f t="shared" ref="B11:N11" si="0">B4-B10</f>
        <v>-0.51566371826869428</v>
      </c>
      <c r="C11" s="16">
        <f t="shared" si="0"/>
        <v>-0.33727215712831837</v>
      </c>
      <c r="D11" s="16">
        <f t="shared" si="0"/>
        <v>-0.39239800762651988</v>
      </c>
      <c r="E11" s="16">
        <f t="shared" si="0"/>
        <v>0.64102715627705953</v>
      </c>
      <c r="F11" s="16">
        <f t="shared" si="0"/>
        <v>6.1300805136454084E-2</v>
      </c>
      <c r="G11" s="16">
        <f t="shared" si="0"/>
        <v>0.67042466102191778</v>
      </c>
      <c r="H11" s="16">
        <f t="shared" si="0"/>
        <v>1.3307304044133326</v>
      </c>
      <c r="I11" s="16">
        <f t="shared" si="0"/>
        <v>1.2083900600224533</v>
      </c>
      <c r="J11" s="16">
        <f t="shared" si="0"/>
        <v>1.4027363371247241</v>
      </c>
      <c r="K11" s="16">
        <f t="shared" si="0"/>
        <v>1.37943802000868</v>
      </c>
      <c r="L11" s="16">
        <f t="shared" si="0"/>
        <v>-0.2899549581609977</v>
      </c>
      <c r="M11" s="16">
        <f t="shared" si="0"/>
        <v>-0.16161059819196</v>
      </c>
      <c r="N11" s="16">
        <f t="shared" si="0"/>
        <v>0.74141467681703643</v>
      </c>
      <c r="O11" s="16"/>
      <c r="P11" s="16"/>
      <c r="Q11" s="16"/>
      <c r="R11" s="16"/>
      <c r="S11" s="16"/>
      <c r="T11" s="16"/>
      <c r="U11" s="16"/>
      <c r="V11" s="16"/>
      <c r="W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</row>
    <row r="33" spans="1:53">
      <c r="A33" s="33" t="s">
        <v>325</v>
      </c>
      <c r="B33" s="142">
        <v>40725</v>
      </c>
      <c r="C33" s="142">
        <v>40756</v>
      </c>
      <c r="D33" s="142">
        <v>40787</v>
      </c>
      <c r="E33" s="142">
        <v>40817</v>
      </c>
      <c r="F33" s="142">
        <v>40848</v>
      </c>
      <c r="G33" s="142">
        <v>40878</v>
      </c>
      <c r="H33" s="142">
        <v>40909</v>
      </c>
      <c r="I33" s="142">
        <v>40940</v>
      </c>
      <c r="J33" s="142">
        <v>40969</v>
      </c>
      <c r="K33" s="142">
        <v>41000</v>
      </c>
      <c r="L33" s="142">
        <v>41030</v>
      </c>
      <c r="M33" s="142">
        <v>41061</v>
      </c>
      <c r="N33" s="12">
        <v>1112</v>
      </c>
      <c r="O33" s="12"/>
      <c r="P33" s="12"/>
      <c r="Q33" s="12"/>
      <c r="R33" s="12"/>
      <c r="S33" s="12"/>
      <c r="T33" s="12"/>
      <c r="U33" s="12"/>
      <c r="V33" s="12"/>
      <c r="W33" s="142"/>
      <c r="X33" s="33" t="s">
        <v>121</v>
      </c>
      <c r="Y33" s="142">
        <v>41091</v>
      </c>
      <c r="Z33" s="142">
        <v>41122</v>
      </c>
      <c r="AA33" s="142">
        <v>41153</v>
      </c>
      <c r="AB33" s="142">
        <v>41183</v>
      </c>
      <c r="AC33" s="142">
        <v>41214</v>
      </c>
      <c r="AD33" s="142">
        <v>41244</v>
      </c>
      <c r="AE33" s="142">
        <v>41275</v>
      </c>
      <c r="AF33" s="142">
        <v>41306</v>
      </c>
      <c r="AG33" s="142">
        <v>41334</v>
      </c>
      <c r="AH33" s="142">
        <v>41365</v>
      </c>
      <c r="AI33" s="142">
        <v>41395</v>
      </c>
      <c r="AJ33" s="142">
        <v>41426</v>
      </c>
      <c r="AK33" s="12" t="s">
        <v>881</v>
      </c>
      <c r="AL33" s="142"/>
      <c r="AM33" s="142"/>
      <c r="AN33" s="33" t="s">
        <v>121</v>
      </c>
      <c r="AO33" s="142">
        <v>41456</v>
      </c>
      <c r="AP33" s="142">
        <v>41487</v>
      </c>
      <c r="AQ33" s="142">
        <v>41518</v>
      </c>
      <c r="AR33" s="142">
        <v>41548</v>
      </c>
      <c r="AS33" s="142">
        <v>41579</v>
      </c>
      <c r="AT33" s="142">
        <v>41609</v>
      </c>
      <c r="AU33" s="142">
        <v>41640</v>
      </c>
      <c r="AV33" s="142">
        <v>41671</v>
      </c>
      <c r="AW33" s="142">
        <v>41699</v>
      </c>
      <c r="AX33" s="142">
        <v>41730</v>
      </c>
      <c r="AY33" s="142">
        <v>41760</v>
      </c>
      <c r="AZ33" s="142">
        <v>41791</v>
      </c>
      <c r="BA33" s="12" t="s">
        <v>912</v>
      </c>
    </row>
    <row r="34" spans="1:53">
      <c r="A34" s="1" t="s">
        <v>321</v>
      </c>
      <c r="B34" s="166">
        <f>+'YR REPORTS'!D37/'PGC GRAPHS'!$B$1</f>
        <v>1.3877138952719998</v>
      </c>
      <c r="C34" s="166">
        <f>+'YR REPORTS'!E37/'PGC GRAPHS'!$B$1</f>
        <v>1.3572810880819999</v>
      </c>
      <c r="D34" s="166">
        <f>+'YR REPORTS'!F37/'PGC GRAPHS'!$B$1</f>
        <v>1.3490703956880001</v>
      </c>
      <c r="E34" s="166">
        <f>+'YR REPORTS'!G37/'PGC GRAPHS'!$B$1</f>
        <v>1.5006145094880001</v>
      </c>
      <c r="F34" s="166">
        <f>+'YR REPORTS'!H37/'PGC GRAPHS'!$B$1</f>
        <v>1.4796795888109999</v>
      </c>
      <c r="G34" s="166">
        <f>+'YR REPORTS'!I37/'PGC GRAPHS'!$B$1</f>
        <v>1.4969599226200001</v>
      </c>
      <c r="H34" s="166">
        <f>+'YR REPORTS'!J37/'PGC GRAPHS'!$B$1</f>
        <v>1.5140081024890002</v>
      </c>
      <c r="I34" s="166">
        <f>+'YR REPORTS'!K37/'PGC GRAPHS'!$B$1</f>
        <v>1.5343128908999999</v>
      </c>
      <c r="J34" s="166">
        <f>+'YR REPORTS'!L37/'PGC GRAPHS'!$B$1</f>
        <v>1.5485538478999998</v>
      </c>
      <c r="K34" s="166">
        <f>+'YR REPORTS'!M37/'PGC GRAPHS'!$B$1</f>
        <v>1.3631416113999999</v>
      </c>
      <c r="L34" s="166">
        <f>+'YR REPORTS'!N37/'PGC GRAPHS'!$B$1</f>
        <v>1.3576746513999998</v>
      </c>
      <c r="M34" s="166">
        <f>+'YR REPORTS'!O37/'PGC GRAPHS'!$B$1</f>
        <v>1.3175423813999998</v>
      </c>
      <c r="N34" s="166">
        <f>+'YR REPORTS'!P37/'PGC GRAPHS'!$B$1</f>
        <v>17.206552885449998</v>
      </c>
      <c r="O34" s="12"/>
      <c r="P34" s="12"/>
      <c r="Q34" s="12"/>
      <c r="R34" s="12"/>
      <c r="S34" s="12"/>
      <c r="T34" s="12"/>
      <c r="U34" s="12"/>
      <c r="V34" s="12"/>
      <c r="W34" s="142"/>
      <c r="X34" s="1" t="s">
        <v>321</v>
      </c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33"/>
      <c r="AO34" s="142"/>
      <c r="AP34" s="142"/>
      <c r="AQ34" s="142"/>
      <c r="AR34" s="142"/>
      <c r="AS34" s="142"/>
      <c r="AT34" s="142"/>
      <c r="AU34" s="142"/>
      <c r="AV34" s="142"/>
      <c r="AW34" s="142"/>
      <c r="AX34" s="142"/>
      <c r="AY34" s="142"/>
      <c r="AZ34" s="142"/>
    </row>
    <row r="35" spans="1:53">
      <c r="A35" s="1" t="s">
        <v>322</v>
      </c>
      <c r="B35" s="166">
        <f>+'YR REPORTS'!D35/'PGC GRAPHS'!$B$1</f>
        <v>0.91191902033876948</v>
      </c>
      <c r="C35" s="166">
        <f>+'YR REPORTS'!E35/'PGC GRAPHS'!$B$1</f>
        <v>1.1006001551010423</v>
      </c>
      <c r="D35" s="166">
        <f>+'YR REPORTS'!F35/'PGC GRAPHS'!$B$1</f>
        <v>1.0767307394908263</v>
      </c>
      <c r="E35" s="166">
        <f>+'YR REPORTS'!G35/'PGC GRAPHS'!$B$1</f>
        <v>2.4436633219065098</v>
      </c>
      <c r="F35" s="166">
        <f>+'YR REPORTS'!H35/'PGC GRAPHS'!$B$1</f>
        <v>3.7345984671436239</v>
      </c>
      <c r="G35" s="166">
        <f>+'YR REPORTS'!I35/'PGC GRAPHS'!$B$1</f>
        <v>6.2068998073999762</v>
      </c>
      <c r="H35" s="166">
        <f>+'YR REPORTS'!J35/'PGC GRAPHS'!$B$1</f>
        <v>7.764596490696297</v>
      </c>
      <c r="I35" s="166">
        <f>+'YR REPORTS'!K35/'PGC GRAPHS'!$B$1</f>
        <v>6.0835214279165415</v>
      </c>
      <c r="J35" s="166">
        <f>+'YR REPORTS'!L35/'PGC GRAPHS'!$B$1</f>
        <v>3.100101697750711</v>
      </c>
      <c r="K35" s="166">
        <f>+'YR REPORTS'!M35/'PGC GRAPHS'!$B$1</f>
        <v>2.0196379034270202</v>
      </c>
      <c r="L35" s="166">
        <f>+'YR REPORTS'!N35/'PGC GRAPHS'!$B$1</f>
        <v>0.64979747189604797</v>
      </c>
      <c r="M35" s="166">
        <f>+'YR REPORTS'!O35/'PGC GRAPHS'!$B$1</f>
        <v>0.63877823857390836</v>
      </c>
      <c r="N35" s="166">
        <f>+'YR REPORTS'!P35/'PGC GRAPHS'!$B$1</f>
        <v>35.73084474164127</v>
      </c>
      <c r="O35" s="12"/>
      <c r="P35" s="12"/>
      <c r="Q35" s="12"/>
      <c r="R35" s="12"/>
      <c r="S35" s="12"/>
      <c r="T35" s="12"/>
      <c r="U35" s="12"/>
      <c r="V35" s="12"/>
      <c r="W35" s="142"/>
      <c r="X35" s="1" t="s">
        <v>322</v>
      </c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33"/>
      <c r="AO35" s="142"/>
      <c r="AP35" s="142"/>
      <c r="AQ35" s="142"/>
      <c r="AR35" s="142"/>
      <c r="AS35" s="142"/>
      <c r="AT35" s="142"/>
      <c r="AU35" s="142"/>
      <c r="AV35" s="142"/>
      <c r="AW35" s="142"/>
      <c r="AX35" s="142"/>
      <c r="AY35" s="142"/>
      <c r="AZ35" s="142"/>
    </row>
    <row r="36" spans="1:53">
      <c r="B36" s="166"/>
      <c r="C36" s="166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6"/>
      <c r="O36" s="12"/>
      <c r="P36" s="12"/>
      <c r="Q36" s="12"/>
      <c r="R36" s="12"/>
      <c r="S36" s="12"/>
      <c r="T36" s="12"/>
      <c r="U36" s="12"/>
      <c r="V36" s="12"/>
      <c r="W36" s="142"/>
      <c r="X36" s="33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33"/>
      <c r="AO36" s="142"/>
      <c r="AP36" s="142"/>
      <c r="AQ36" s="142"/>
      <c r="AR36" s="142"/>
      <c r="AS36" s="142"/>
      <c r="AT36" s="142"/>
      <c r="AU36" s="142"/>
      <c r="AV36" s="142"/>
      <c r="AW36" s="142"/>
      <c r="AX36" s="142"/>
      <c r="AY36" s="142"/>
      <c r="AZ36" s="142"/>
    </row>
    <row r="57" spans="1:53">
      <c r="J57" s="230"/>
      <c r="O57" s="11"/>
      <c r="P57" s="166"/>
      <c r="Q57" s="175"/>
    </row>
    <row r="58" spans="1:53">
      <c r="A58" s="33" t="s">
        <v>334</v>
      </c>
      <c r="B58" s="142">
        <v>40725</v>
      </c>
      <c r="C58" s="142">
        <v>40756</v>
      </c>
      <c r="D58" s="142">
        <v>40787</v>
      </c>
      <c r="E58" s="142">
        <v>40817</v>
      </c>
      <c r="F58" s="142">
        <v>40848</v>
      </c>
      <c r="G58" s="142">
        <v>40878</v>
      </c>
      <c r="H58" s="142">
        <v>40909</v>
      </c>
      <c r="I58" s="142">
        <v>40940</v>
      </c>
      <c r="J58" s="142">
        <v>40969</v>
      </c>
      <c r="K58" s="142">
        <v>41000</v>
      </c>
      <c r="L58" s="142">
        <v>41030</v>
      </c>
      <c r="M58" s="142">
        <v>41061</v>
      </c>
      <c r="N58" s="12">
        <v>1112</v>
      </c>
      <c r="O58" s="11"/>
      <c r="P58" s="12"/>
      <c r="Q58" s="12"/>
      <c r="R58" s="12"/>
      <c r="S58" s="12"/>
      <c r="T58" s="12"/>
      <c r="U58" s="12"/>
      <c r="V58" s="12"/>
      <c r="W58" s="142"/>
      <c r="X58" s="33" t="s">
        <v>121</v>
      </c>
      <c r="Y58" s="142">
        <v>41091</v>
      </c>
      <c r="Z58" s="142">
        <v>41122</v>
      </c>
      <c r="AA58" s="142">
        <v>41153</v>
      </c>
      <c r="AB58" s="142">
        <v>41183</v>
      </c>
      <c r="AC58" s="142">
        <v>41214</v>
      </c>
      <c r="AD58" s="142">
        <v>41244</v>
      </c>
      <c r="AE58" s="142">
        <v>41275</v>
      </c>
      <c r="AF58" s="142">
        <v>41306</v>
      </c>
      <c r="AG58" s="142">
        <v>41334</v>
      </c>
      <c r="AH58" s="142">
        <v>41365</v>
      </c>
      <c r="AI58" s="142">
        <v>41395</v>
      </c>
      <c r="AJ58" s="142">
        <v>41426</v>
      </c>
      <c r="AK58" s="12" t="s">
        <v>881</v>
      </c>
      <c r="AL58" s="142"/>
      <c r="AM58" s="142"/>
      <c r="AN58" s="33" t="s">
        <v>121</v>
      </c>
      <c r="AO58" s="142">
        <v>41456</v>
      </c>
      <c r="AP58" s="142">
        <v>41487</v>
      </c>
      <c r="AQ58" s="142">
        <v>41518</v>
      </c>
      <c r="AR58" s="142">
        <v>41548</v>
      </c>
      <c r="AS58" s="142">
        <v>41579</v>
      </c>
      <c r="AT58" s="142">
        <v>41609</v>
      </c>
      <c r="AU58" s="142">
        <v>41640</v>
      </c>
      <c r="AV58" s="142">
        <v>41671</v>
      </c>
      <c r="AW58" s="142">
        <v>41699</v>
      </c>
      <c r="AX58" s="142">
        <v>41730</v>
      </c>
      <c r="AY58" s="142">
        <v>41760</v>
      </c>
      <c r="AZ58" s="142">
        <v>41791</v>
      </c>
      <c r="BA58" s="12" t="s">
        <v>912</v>
      </c>
    </row>
    <row r="59" spans="1:53" s="99" customFormat="1">
      <c r="A59" s="99" t="s">
        <v>118</v>
      </c>
      <c r="B59" s="166">
        <f>+'YR REPORTS'!D54/'PGC GRAPHS'!$B$1</f>
        <v>2.2996329156107693</v>
      </c>
      <c r="C59" s="166">
        <f>+'YR REPORTS'!E54/'PGC GRAPHS'!$B$1</f>
        <v>2.4578812431830421</v>
      </c>
      <c r="D59" s="166">
        <f>+'YR REPORTS'!F54/'PGC GRAPHS'!$B$1</f>
        <v>2.4258011351788267</v>
      </c>
      <c r="E59" s="166">
        <f>+'YR REPORTS'!G54/'PGC GRAPHS'!$B$1</f>
        <v>3.9442778313945097</v>
      </c>
      <c r="F59" s="166">
        <f>+'YR REPORTS'!H54/'PGC GRAPHS'!$B$1</f>
        <v>5.2142780559546242</v>
      </c>
      <c r="G59" s="166">
        <f>+'YR REPORTS'!I54/'PGC GRAPHS'!$B$1</f>
        <v>7.7038597300199765</v>
      </c>
      <c r="H59" s="166">
        <f>+'YR REPORTS'!J54/'PGC GRAPHS'!$B$1</f>
        <v>9.2786045931852978</v>
      </c>
      <c r="I59" s="166">
        <f>+'YR REPORTS'!K54/'PGC GRAPHS'!$B$1</f>
        <v>7.6178343188165414</v>
      </c>
      <c r="J59" s="166">
        <f>+'YR REPORTS'!L54/'PGC GRAPHS'!$B$1</f>
        <v>4.648655545650711</v>
      </c>
      <c r="K59" s="166">
        <f>+'YR REPORTS'!M54/'PGC GRAPHS'!$B$1</f>
        <v>3.3827795148270199</v>
      </c>
      <c r="L59" s="166">
        <f>+'YR REPORTS'!N54/'PGC GRAPHS'!$B$1</f>
        <v>2.007472123296048</v>
      </c>
      <c r="M59" s="166">
        <f>+'YR REPORTS'!O54/'PGC GRAPHS'!$B$1</f>
        <v>1.9563206199739083</v>
      </c>
      <c r="N59" s="166">
        <f>+'YR REPORTS'!P54/'PGC GRAPHS'!$B$1</f>
        <v>52.937397627091272</v>
      </c>
      <c r="O59" s="166"/>
      <c r="P59" s="124"/>
      <c r="Q59" s="166"/>
      <c r="R59" s="166"/>
      <c r="S59" s="166"/>
      <c r="T59" s="166"/>
      <c r="U59" s="166"/>
      <c r="V59" s="166"/>
      <c r="W59" s="16"/>
      <c r="X59" s="99" t="s">
        <v>118</v>
      </c>
      <c r="Y59" s="166">
        <f>+'YR REPORTS'!U54/$Y$1</f>
        <v>2.3376377397080121</v>
      </c>
      <c r="Z59" s="166">
        <f>+'YR REPORTS'!V54/$Y$1</f>
        <v>2.4059410598365645</v>
      </c>
      <c r="AA59" s="166">
        <f>+'YR REPORTS'!W54/$Y$1</f>
        <v>2.59668609258018</v>
      </c>
      <c r="AB59" s="166">
        <f>+'YR REPORTS'!X54/$Y$1</f>
        <v>4.1309912999494411</v>
      </c>
      <c r="AC59" s="166">
        <f>+'YR REPORTS'!Y54/$Y$1</f>
        <v>5.9839443988294585</v>
      </c>
      <c r="AD59" s="166">
        <f>+'YR REPORTS'!Z54/$Y$1</f>
        <v>8.5645923738798402</v>
      </c>
      <c r="AE59" s="166">
        <f>+'YR REPORTS'!AA54/$Y$1</f>
        <v>9.4211677667659224</v>
      </c>
      <c r="AF59" s="166">
        <f>+'YR REPORTS'!AB54/$Y$1</f>
        <v>8.0350666214569433</v>
      </c>
      <c r="AG59" s="166">
        <f>+'YR REPORTS'!AC54/$Y$1</f>
        <v>6.9528580147031436</v>
      </c>
      <c r="AH59" s="166">
        <f>+'YR REPORTS'!AD54/$Y$1</f>
        <v>4.4790109254489572</v>
      </c>
      <c r="AI59" s="166">
        <f>+'YR REPORTS'!AE54/$Y$1</f>
        <v>2.9754552752959404</v>
      </c>
      <c r="AJ59" s="166">
        <f>+'YR REPORTS'!AF54/$Y$1</f>
        <v>2.4003629960215878</v>
      </c>
      <c r="AK59" s="166"/>
      <c r="AL59" s="166"/>
      <c r="AN59" s="99" t="s">
        <v>118</v>
      </c>
      <c r="AO59" s="166">
        <f>+'YR REPORTS'!AK54/$AO$1</f>
        <v>2.4904464788649903</v>
      </c>
      <c r="AP59" s="166">
        <f>+'YR REPORTS'!AL54/$AO$1</f>
        <v>2.4972269692539708</v>
      </c>
      <c r="AQ59" s="166">
        <f>+'YR REPORTS'!AM54/$AO$1</f>
        <v>2.6812944514254293</v>
      </c>
      <c r="AR59" s="166">
        <f>+'YR REPORTS'!AN54/$AO$1</f>
        <v>4.3849604312874328</v>
      </c>
      <c r="AS59" s="166">
        <f>+'YR REPORTS'!AO54/$AO$1</f>
        <v>6.5737209246078994</v>
      </c>
      <c r="AT59" s="166">
        <f>+'YR REPORTS'!AP54/$AO$1</f>
        <v>9.2351901039252713</v>
      </c>
      <c r="AU59" s="166">
        <f>+'YR REPORTS'!AQ54/$AO$1</f>
        <v>10.14707169937785</v>
      </c>
      <c r="AV59" s="166">
        <f>+'YR REPORTS'!AR54/$AO$1</f>
        <v>8.588086769135403</v>
      </c>
      <c r="AW59" s="166">
        <f>+'YR REPORTS'!AS54/$AO$1</f>
        <v>7.4099454840494596</v>
      </c>
      <c r="AX59" s="166">
        <f>+'YR REPORTS'!AT54/$AO$1</f>
        <v>4.677662677811913</v>
      </c>
      <c r="AY59" s="166">
        <f>+'YR REPORTS'!AU54/$AO$1</f>
        <v>3.2399064077502637</v>
      </c>
      <c r="AZ59" s="166">
        <f>+'YR REPORTS'!AV54/$AO$1</f>
        <v>2.5877746720654549</v>
      </c>
    </row>
    <row r="60" spans="1:53" s="99" customFormat="1">
      <c r="A60" s="99" t="s">
        <v>317</v>
      </c>
      <c r="B60" s="166"/>
      <c r="C60" s="166"/>
      <c r="D60" s="166"/>
      <c r="E60" s="166"/>
      <c r="F60" s="166"/>
      <c r="G60" s="166"/>
      <c r="H60" s="166"/>
      <c r="I60" s="166"/>
      <c r="J60" s="166"/>
      <c r="K60" s="166"/>
      <c r="L60" s="166"/>
      <c r="M60" s="166"/>
      <c r="N60" s="166"/>
      <c r="Q60" s="166"/>
      <c r="R60" s="166"/>
      <c r="S60" s="166"/>
      <c r="T60" s="166"/>
      <c r="U60" s="166"/>
      <c r="V60" s="166"/>
      <c r="W60" s="16"/>
      <c r="Y60" s="166"/>
      <c r="Z60" s="166"/>
      <c r="AA60" s="166"/>
      <c r="AB60" s="166"/>
      <c r="AC60" s="166"/>
      <c r="AD60" s="166"/>
      <c r="AE60" s="166"/>
      <c r="AF60" s="166"/>
      <c r="AG60" s="166"/>
      <c r="AH60" s="166"/>
      <c r="AI60" s="166"/>
      <c r="AJ60" s="166"/>
      <c r="AK60" s="166"/>
      <c r="AL60" s="166"/>
      <c r="AO60" s="166"/>
      <c r="AP60" s="166"/>
      <c r="AQ60" s="166"/>
      <c r="AR60" s="166"/>
      <c r="AS60" s="166"/>
      <c r="AT60" s="166"/>
      <c r="AU60" s="166"/>
      <c r="AV60" s="166"/>
      <c r="AW60" s="166"/>
      <c r="AX60" s="166"/>
      <c r="AY60" s="166"/>
      <c r="AZ60" s="166"/>
    </row>
    <row r="61" spans="1:53" s="99" customFormat="1">
      <c r="A61" s="99" t="s">
        <v>119</v>
      </c>
      <c r="B61" s="166">
        <f>+'YR REPORTS'!D88/$B$1</f>
        <v>1.483077738</v>
      </c>
      <c r="C61" s="166">
        <f>+'YR REPORTS'!E88/$B$1</f>
        <v>1.7266995380000003</v>
      </c>
      <c r="D61" s="166">
        <f>+'YR REPORTS'!F88/$B$1</f>
        <v>1.9404084539999999</v>
      </c>
      <c r="E61" s="166">
        <f>+'YR REPORTS'!G88/$B$1</f>
        <v>3.4964595160000007</v>
      </c>
      <c r="F61" s="166">
        <f>+'YR REPORTS'!H88/$B$1</f>
        <v>6.605582032</v>
      </c>
      <c r="G61" s="166">
        <f>+'YR REPORTS'!I88/$B$1</f>
        <v>9.006785292</v>
      </c>
      <c r="H61" s="166">
        <f>+'YR REPORTS'!J88/$B$1</f>
        <v>10.308511728000001</v>
      </c>
      <c r="I61" s="166">
        <f>+'YR REPORTS'!K88/$B$1</f>
        <v>9.1762411440000005</v>
      </c>
      <c r="J61" s="166">
        <f>+'YR REPORTS'!L88/$B$1</f>
        <v>3.8702950199999999</v>
      </c>
      <c r="K61" s="166">
        <f>+'YR REPORTS'!M88/$B$1</f>
        <v>2.7094210160000003</v>
      </c>
      <c r="L61" s="166">
        <f>+'YR REPORTS'!N88/$B$1</f>
        <v>1.7642034600000001</v>
      </c>
      <c r="M61" s="166">
        <f>+'YR REPORTS'!O88/$B$1</f>
        <v>1.3330765519999996</v>
      </c>
      <c r="N61" s="166">
        <f>+'YR REPORTS'!P88/$B$1</f>
        <v>53.420761490000011</v>
      </c>
      <c r="O61" s="166" t="s">
        <v>473</v>
      </c>
      <c r="P61" s="166" t="s">
        <v>474</v>
      </c>
      <c r="Q61" s="166"/>
      <c r="R61" s="166"/>
      <c r="S61" s="166"/>
      <c r="T61" s="166"/>
      <c r="U61" s="166"/>
      <c r="V61" s="166"/>
      <c r="W61" s="16"/>
      <c r="X61" s="99" t="s">
        <v>119</v>
      </c>
      <c r="Y61" s="166">
        <f>+'YR REPORTS'!U88/$Y$1</f>
        <v>1.2767734399999999</v>
      </c>
      <c r="Z61" s="166">
        <f>+'YR REPORTS'!V88/$Y$1</f>
        <v>1.2767734399999999</v>
      </c>
      <c r="AA61" s="166">
        <f>+'YR REPORTS'!W88/$Y$1</f>
        <v>1.4886675600000001</v>
      </c>
      <c r="AB61" s="166">
        <f>+'YR REPORTS'!X88/$Y$1</f>
        <v>3.2624808800000005</v>
      </c>
      <c r="AC61" s="166">
        <f>+'YR REPORTS'!Y88/$Y$1</f>
        <v>5.5379533200000006</v>
      </c>
      <c r="AD61" s="166">
        <f>+'YR REPORTS'!Z88/$Y$1</f>
        <v>8.528499140000001</v>
      </c>
      <c r="AE61" s="166">
        <f>+'YR REPORTS'!AA88/$Y$1</f>
        <v>9.4142804000000009</v>
      </c>
      <c r="AF61" s="166">
        <f>+'YR REPORTS'!AB88/$Y$1</f>
        <v>7.72357022</v>
      </c>
      <c r="AG61" s="166">
        <f>+'YR REPORTS'!AC88/$Y$1</f>
        <v>6.2897113400000002</v>
      </c>
      <c r="AH61" s="166">
        <f>+'YR REPORTS'!AD88/$Y$1</f>
        <v>3.5717136000000003</v>
      </c>
      <c r="AI61" s="166">
        <f>+'YR REPORTS'!AE88/$Y$1</f>
        <v>1.99707908</v>
      </c>
      <c r="AJ61" s="166">
        <f>+'YR REPORTS'!AF88/$Y$1</f>
        <v>1.2842564999999999</v>
      </c>
      <c r="AK61" s="166"/>
      <c r="AL61" s="166"/>
      <c r="AN61" s="99" t="s">
        <v>119</v>
      </c>
      <c r="AO61" s="166">
        <f>+'YR REPORTS'!AK88/$AO$1</f>
        <v>1.2959934399999999</v>
      </c>
      <c r="AP61" s="166">
        <f>+'YR REPORTS'!AL88/$AO$1</f>
        <v>1.2959934399999999</v>
      </c>
      <c r="AQ61" s="166">
        <f>+'YR REPORTS'!AM88/$AO$1</f>
        <v>1.5109140599999999</v>
      </c>
      <c r="AR61" s="166">
        <f>+'YR REPORTS'!AN88/$AO$1</f>
        <v>3.31031188</v>
      </c>
      <c r="AS61" s="166">
        <f>+'YR REPORTS'!AO88/$AO$1</f>
        <v>5.6185438200000002</v>
      </c>
      <c r="AT61" s="166">
        <f>+'YR REPORTS'!AP88/$AO$1</f>
        <v>8.6522053900000007</v>
      </c>
      <c r="AU61" s="166">
        <f>+'YR REPORTS'!AQ88/$AO$1</f>
        <v>9.5507494000000026</v>
      </c>
      <c r="AV61" s="166">
        <f>+'YR REPORTS'!AR88/$AO$1</f>
        <v>7.8355989699999995</v>
      </c>
      <c r="AW61" s="166">
        <f>+'YR REPORTS'!AS88/$AO$1</f>
        <v>6.3811600899999998</v>
      </c>
      <c r="AX61" s="166">
        <f>+'YR REPORTS'!AT88/$AO$1</f>
        <v>3.6239736000000002</v>
      </c>
      <c r="AY61" s="166">
        <f>+'YR REPORTS'!AU88/$AO$1</f>
        <v>2.0266775799999999</v>
      </c>
      <c r="AZ61" s="166">
        <f>+'YR REPORTS'!AV88/$AO$1</f>
        <v>1.30355775</v>
      </c>
    </row>
    <row r="62" spans="1:53" s="99" customFormat="1">
      <c r="A62" s="99" t="s">
        <v>613</v>
      </c>
      <c r="B62" s="178">
        <f>B61-B59</f>
        <v>-0.81655517761076934</v>
      </c>
      <c r="C62" s="178">
        <f t="shared" ref="C62:M62" si="1">C61-C59</f>
        <v>-0.73118170518304182</v>
      </c>
      <c r="D62" s="178">
        <f t="shared" si="1"/>
        <v>-0.48539268117882672</v>
      </c>
      <c r="E62" s="178">
        <f t="shared" si="1"/>
        <v>-0.447818315394509</v>
      </c>
      <c r="F62" s="178">
        <f t="shared" si="1"/>
        <v>1.3913039760453758</v>
      </c>
      <c r="G62" s="178">
        <f t="shared" si="1"/>
        <v>1.3029255619800235</v>
      </c>
      <c r="H62" s="178">
        <f t="shared" si="1"/>
        <v>1.0299071348147031</v>
      </c>
      <c r="I62" s="178">
        <f t="shared" si="1"/>
        <v>1.5584068251834591</v>
      </c>
      <c r="J62" s="178">
        <f t="shared" si="1"/>
        <v>-0.77836052565071112</v>
      </c>
      <c r="K62" s="178">
        <f t="shared" si="1"/>
        <v>-0.67335849882701959</v>
      </c>
      <c r="L62" s="178">
        <f t="shared" si="1"/>
        <v>-0.2432686632960479</v>
      </c>
      <c r="M62" s="178">
        <f t="shared" si="1"/>
        <v>-0.62324406797390863</v>
      </c>
      <c r="N62" s="166"/>
      <c r="O62" s="166"/>
      <c r="P62" s="166"/>
      <c r="Q62" s="166"/>
      <c r="R62" s="166"/>
      <c r="S62" s="166"/>
      <c r="T62" s="166"/>
      <c r="U62" s="166"/>
      <c r="V62" s="166"/>
      <c r="W62" s="16"/>
      <c r="Y62" s="166"/>
      <c r="Z62" s="166"/>
      <c r="AA62" s="166"/>
      <c r="AB62" s="166"/>
      <c r="AC62" s="166"/>
      <c r="AD62" s="166"/>
      <c r="AE62" s="166"/>
      <c r="AF62" s="166"/>
      <c r="AG62" s="166"/>
      <c r="AH62" s="166"/>
      <c r="AI62" s="166"/>
      <c r="AJ62" s="166"/>
      <c r="AK62" s="166"/>
      <c r="AL62" s="166"/>
      <c r="AO62" s="166"/>
      <c r="AP62" s="166"/>
      <c r="AQ62" s="166"/>
      <c r="AR62" s="166"/>
      <c r="AS62" s="166"/>
      <c r="AT62" s="166"/>
      <c r="AU62" s="166"/>
      <c r="AV62" s="166"/>
      <c r="AW62" s="166"/>
      <c r="AX62" s="166"/>
      <c r="AY62" s="166"/>
      <c r="AZ62" s="166"/>
    </row>
    <row r="63" spans="1:53" s="99" customFormat="1">
      <c r="A63" s="99" t="s">
        <v>470</v>
      </c>
      <c r="B63" s="166">
        <f>B34</f>
        <v>1.3877138952719998</v>
      </c>
      <c r="C63" s="166">
        <f t="shared" ref="C63:N63" si="2">C34</f>
        <v>1.3572810880819999</v>
      </c>
      <c r="D63" s="166">
        <f t="shared" si="2"/>
        <v>1.3490703956880001</v>
      </c>
      <c r="E63" s="166">
        <f t="shared" si="2"/>
        <v>1.5006145094880001</v>
      </c>
      <c r="F63" s="166">
        <f t="shared" si="2"/>
        <v>1.4796795888109999</v>
      </c>
      <c r="G63" s="166">
        <f t="shared" si="2"/>
        <v>1.4969599226200001</v>
      </c>
      <c r="H63" s="166">
        <f t="shared" si="2"/>
        <v>1.5140081024890002</v>
      </c>
      <c r="I63" s="166">
        <f t="shared" si="2"/>
        <v>1.5343128908999999</v>
      </c>
      <c r="J63" s="166">
        <f t="shared" si="2"/>
        <v>1.5485538478999998</v>
      </c>
      <c r="K63" s="166">
        <f t="shared" si="2"/>
        <v>1.3631416113999999</v>
      </c>
      <c r="L63" s="166">
        <f t="shared" si="2"/>
        <v>1.3576746513999998</v>
      </c>
      <c r="M63" s="166">
        <f t="shared" si="2"/>
        <v>1.3175423813999998</v>
      </c>
      <c r="N63" s="166">
        <f t="shared" si="2"/>
        <v>17.206552885449998</v>
      </c>
      <c r="O63" s="166">
        <f>SUM(B63:E63,K63:M63)</f>
        <v>9.6330385327299979</v>
      </c>
      <c r="P63" s="166">
        <f>SUM(F63:J63)</f>
        <v>7.5735143527200002</v>
      </c>
      <c r="Q63" s="166"/>
      <c r="R63" s="166"/>
      <c r="S63" s="166"/>
      <c r="T63" s="166"/>
      <c r="U63" s="166"/>
      <c r="V63" s="166"/>
      <c r="W63" s="16"/>
      <c r="Y63" s="166"/>
      <c r="Z63" s="166"/>
      <c r="AA63" s="166"/>
      <c r="AB63" s="166"/>
      <c r="AC63" s="166"/>
      <c r="AD63" s="166"/>
      <c r="AE63" s="166"/>
      <c r="AF63" s="166"/>
      <c r="AG63" s="166"/>
      <c r="AH63" s="166"/>
      <c r="AI63" s="166"/>
      <c r="AJ63" s="166"/>
      <c r="AK63" s="166"/>
      <c r="AL63" s="166"/>
      <c r="AO63" s="166"/>
      <c r="AP63" s="166"/>
      <c r="AQ63" s="166"/>
      <c r="AR63" s="166"/>
      <c r="AS63" s="166"/>
      <c r="AT63" s="166"/>
      <c r="AU63" s="166"/>
      <c r="AV63" s="166"/>
      <c r="AW63" s="166"/>
      <c r="AX63" s="166"/>
      <c r="AY63" s="166"/>
      <c r="AZ63" s="166"/>
    </row>
    <row r="64" spans="1:53" s="99" customFormat="1">
      <c r="A64" s="99" t="s">
        <v>471</v>
      </c>
      <c r="B64" s="166">
        <f>+'YR REPORTS'!D42/$B$1</f>
        <v>0.3842788867953138</v>
      </c>
      <c r="C64" s="166">
        <f>+'YR REPORTS'!E42/$B$1</f>
        <v>0.3842788867953138</v>
      </c>
      <c r="D64" s="166">
        <f>+'YR REPORTS'!F42/$B$1</f>
        <v>0.459044160654075</v>
      </c>
      <c r="E64" s="166">
        <f>+'YR REPORTS'!G42/$B$1</f>
        <v>1.0681603815708098</v>
      </c>
      <c r="F64" s="166">
        <f>+'YR REPORTS'!H42/$B$1</f>
        <v>1.8536260323531257</v>
      </c>
      <c r="G64" s="166">
        <f>+'YR REPORTS'!I42/$B$1</f>
        <v>2.8817872868332768</v>
      </c>
      <c r="H64" s="166">
        <f>+'YR REPORTS'!J42/$B$1</f>
        <v>3.1868520712674449</v>
      </c>
      <c r="I64" s="166">
        <f>+'YR REPORTS'!K42/$B$1</f>
        <v>2.6803333543091297</v>
      </c>
      <c r="J64" s="166">
        <f>+'YR REPORTS'!L42/$B$1</f>
        <v>2.1107444250765903</v>
      </c>
      <c r="K64" s="166">
        <f>+'YR REPORTS'!M42/$B$1</f>
        <v>1.1764492581146444</v>
      </c>
      <c r="L64" s="166">
        <f>+'YR REPORTS'!N42/$B$1</f>
        <v>0.63235354666485644</v>
      </c>
      <c r="M64" s="166">
        <f>+'YR REPORTS'!O42/$B$1</f>
        <v>0.38864459501542098</v>
      </c>
      <c r="N64" s="166">
        <f>+'YR REPORTS'!P42/$B$1</f>
        <v>17.206552885450002</v>
      </c>
      <c r="O64" s="166">
        <f>SUM(B64:E64,K64:M64)</f>
        <v>4.4932097156104343</v>
      </c>
      <c r="P64" s="166">
        <f>SUM(F64:J64)</f>
        <v>12.713343169839568</v>
      </c>
      <c r="Q64" s="166"/>
      <c r="R64" s="166"/>
      <c r="S64" s="166"/>
      <c r="T64" s="166"/>
      <c r="U64" s="166"/>
      <c r="V64" s="166"/>
      <c r="W64" s="16"/>
      <c r="Y64" s="166"/>
      <c r="Z64" s="166"/>
      <c r="AA64" s="166"/>
      <c r="AB64" s="166"/>
      <c r="AC64" s="166"/>
      <c r="AD64" s="166"/>
      <c r="AE64" s="166"/>
      <c r="AF64" s="166"/>
      <c r="AG64" s="166"/>
      <c r="AH64" s="166"/>
      <c r="AI64" s="166"/>
      <c r="AJ64" s="166"/>
      <c r="AK64" s="166"/>
      <c r="AL64" s="166"/>
      <c r="AO64" s="166"/>
      <c r="AP64" s="166"/>
      <c r="AQ64" s="166"/>
      <c r="AR64" s="166"/>
      <c r="AS64" s="166"/>
      <c r="AT64" s="166"/>
      <c r="AU64" s="166"/>
      <c r="AV64" s="166"/>
      <c r="AW64" s="166"/>
      <c r="AX64" s="166"/>
      <c r="AY64" s="166"/>
      <c r="AZ64" s="166"/>
    </row>
    <row r="65" spans="1:52" s="232" customFormat="1">
      <c r="A65" s="232" t="s">
        <v>472</v>
      </c>
      <c r="B65" s="178">
        <f t="shared" ref="B65:M65" si="3">B64-B63</f>
        <v>-1.0034350084766861</v>
      </c>
      <c r="C65" s="178">
        <f t="shared" si="3"/>
        <v>-0.97300220128668613</v>
      </c>
      <c r="D65" s="178">
        <f t="shared" si="3"/>
        <v>-0.89002623503392519</v>
      </c>
      <c r="E65" s="178">
        <f t="shared" si="3"/>
        <v>-0.43245412791719029</v>
      </c>
      <c r="F65" s="178">
        <f t="shared" si="3"/>
        <v>0.37394644354212581</v>
      </c>
      <c r="G65" s="178">
        <f t="shared" si="3"/>
        <v>1.3848273642132767</v>
      </c>
      <c r="H65" s="178">
        <f t="shared" si="3"/>
        <v>1.6728439687784447</v>
      </c>
      <c r="I65" s="178">
        <f t="shared" si="3"/>
        <v>1.1460204634091298</v>
      </c>
      <c r="J65" s="178">
        <f t="shared" si="3"/>
        <v>0.56219057717659049</v>
      </c>
      <c r="K65" s="178">
        <f t="shared" si="3"/>
        <v>-0.18669235328535549</v>
      </c>
      <c r="L65" s="178">
        <f t="shared" si="3"/>
        <v>-0.72532110473514333</v>
      </c>
      <c r="M65" s="178">
        <f t="shared" si="3"/>
        <v>-0.92889778638457887</v>
      </c>
      <c r="N65" s="178">
        <f>SUM(B65:M65)</f>
        <v>1.9984014443252818E-15</v>
      </c>
      <c r="O65" s="178">
        <f>O63-O64</f>
        <v>5.1398288171195636</v>
      </c>
      <c r="P65" s="178">
        <f>P63-P64</f>
        <v>-5.1398288171195681</v>
      </c>
      <c r="Q65" s="178"/>
      <c r="R65" s="178"/>
      <c r="S65" s="178"/>
      <c r="T65" s="178"/>
      <c r="U65" s="178"/>
      <c r="V65" s="178"/>
      <c r="W65" s="178"/>
      <c r="Y65" s="178"/>
      <c r="Z65" s="178"/>
      <c r="AA65" s="178"/>
      <c r="AB65" s="178"/>
      <c r="AC65" s="178"/>
      <c r="AD65" s="178"/>
      <c r="AE65" s="178"/>
      <c r="AF65" s="178"/>
      <c r="AG65" s="178"/>
      <c r="AH65" s="178"/>
      <c r="AI65" s="178"/>
      <c r="AJ65" s="178"/>
      <c r="AK65" s="178"/>
      <c r="AL65" s="178"/>
      <c r="AO65" s="178"/>
      <c r="AP65" s="178"/>
      <c r="AQ65" s="178"/>
      <c r="AR65" s="178"/>
      <c r="AS65" s="178"/>
      <c r="AT65" s="178"/>
      <c r="AU65" s="178"/>
      <c r="AV65" s="178"/>
      <c r="AW65" s="178"/>
      <c r="AX65" s="178"/>
      <c r="AY65" s="178"/>
      <c r="AZ65" s="178"/>
    </row>
    <row r="66" spans="1:52" s="99" customFormat="1">
      <c r="A66" s="99" t="s">
        <v>630</v>
      </c>
      <c r="B66" s="166"/>
      <c r="C66" s="178">
        <f>B65+C65</f>
        <v>-1.9764372097633722</v>
      </c>
      <c r="D66" s="178">
        <f>C66+D65</f>
        <v>-2.8664634447972972</v>
      </c>
      <c r="E66" s="178">
        <f t="shared" ref="E66:M66" si="4">D66+E65</f>
        <v>-3.2989175727144877</v>
      </c>
      <c r="F66" s="178">
        <f t="shared" si="4"/>
        <v>-2.9249711291723619</v>
      </c>
      <c r="G66" s="178">
        <f t="shared" si="4"/>
        <v>-1.5401437649590852</v>
      </c>
      <c r="H66" s="178">
        <f t="shared" si="4"/>
        <v>0.13270020381935943</v>
      </c>
      <c r="I66" s="178">
        <f t="shared" si="4"/>
        <v>1.2787206672284892</v>
      </c>
      <c r="J66" s="178">
        <f t="shared" si="4"/>
        <v>1.8409112444050797</v>
      </c>
      <c r="K66" s="178">
        <f t="shared" si="4"/>
        <v>1.6542188911197242</v>
      </c>
      <c r="L66" s="178">
        <f t="shared" si="4"/>
        <v>0.92889778638458087</v>
      </c>
      <c r="M66" s="178">
        <f t="shared" si="4"/>
        <v>1.9984014443252818E-15</v>
      </c>
      <c r="N66" s="178">
        <f>SUM(B66:M66)</f>
        <v>-6.7714843284493691</v>
      </c>
      <c r="O66" s="166"/>
      <c r="P66" s="166"/>
      <c r="Q66" s="166"/>
      <c r="R66" s="166"/>
      <c r="S66" s="166"/>
      <c r="T66" s="166"/>
      <c r="U66" s="166"/>
      <c r="V66" s="166"/>
      <c r="W66" s="16"/>
      <c r="Y66" s="166"/>
      <c r="Z66" s="166"/>
      <c r="AA66" s="166"/>
      <c r="AB66" s="166"/>
      <c r="AC66" s="166"/>
      <c r="AD66" s="166"/>
      <c r="AE66" s="166"/>
      <c r="AF66" s="166"/>
      <c r="AG66" s="166"/>
      <c r="AH66" s="166"/>
      <c r="AI66" s="166"/>
      <c r="AJ66" s="166"/>
      <c r="AK66" s="166"/>
      <c r="AL66" s="166"/>
      <c r="AO66" s="166"/>
      <c r="AP66" s="166"/>
      <c r="AQ66" s="166"/>
      <c r="AR66" s="166"/>
      <c r="AS66" s="166"/>
      <c r="AT66" s="166"/>
      <c r="AU66" s="166"/>
      <c r="AV66" s="166"/>
      <c r="AW66" s="166"/>
      <c r="AX66" s="166"/>
      <c r="AY66" s="166"/>
      <c r="AZ66" s="166"/>
    </row>
    <row r="67" spans="1:52" s="99" customFormat="1">
      <c r="B67" s="178"/>
      <c r="C67" s="178"/>
      <c r="D67" s="178"/>
      <c r="E67" s="178"/>
      <c r="F67" s="178"/>
      <c r="G67" s="178"/>
      <c r="H67" s="178"/>
      <c r="I67" s="178"/>
      <c r="J67" s="178"/>
      <c r="K67" s="178"/>
      <c r="L67" s="178"/>
      <c r="M67" s="178"/>
      <c r="N67" s="166"/>
      <c r="O67" s="166"/>
      <c r="P67" s="166"/>
      <c r="Q67" s="166"/>
      <c r="R67" s="166"/>
      <c r="S67" s="166"/>
      <c r="T67" s="166"/>
      <c r="U67" s="166"/>
      <c r="V67" s="166"/>
      <c r="W67" s="16"/>
      <c r="Y67" s="166"/>
      <c r="Z67" s="166"/>
      <c r="AA67" s="166"/>
      <c r="AB67" s="166"/>
      <c r="AC67" s="166"/>
      <c r="AD67" s="166"/>
      <c r="AE67" s="166"/>
      <c r="AF67" s="166"/>
      <c r="AG67" s="166"/>
      <c r="AH67" s="166"/>
      <c r="AI67" s="166"/>
      <c r="AJ67" s="166"/>
      <c r="AK67" s="166"/>
      <c r="AL67" s="166"/>
      <c r="AO67" s="166"/>
      <c r="AP67" s="166"/>
      <c r="AQ67" s="166"/>
      <c r="AR67" s="166"/>
      <c r="AS67" s="166"/>
      <c r="AT67" s="166"/>
      <c r="AU67" s="166"/>
      <c r="AV67" s="166"/>
      <c r="AW67" s="166"/>
      <c r="AX67" s="166"/>
      <c r="AY67" s="166"/>
      <c r="AZ67" s="166"/>
    </row>
    <row r="68" spans="1:52">
      <c r="K68" s="178"/>
    </row>
    <row r="89" spans="1:53">
      <c r="A89" s="33" t="s">
        <v>631</v>
      </c>
      <c r="B89" s="142">
        <v>40725</v>
      </c>
      <c r="C89" s="142">
        <v>40756</v>
      </c>
      <c r="D89" s="142">
        <v>40787</v>
      </c>
      <c r="E89" s="142">
        <v>40817</v>
      </c>
      <c r="F89" s="142">
        <v>40848</v>
      </c>
      <c r="G89" s="142">
        <v>40878</v>
      </c>
      <c r="H89" s="142">
        <v>40909</v>
      </c>
      <c r="I89" s="142">
        <v>40940</v>
      </c>
      <c r="J89" s="142">
        <v>40969</v>
      </c>
      <c r="K89" s="142">
        <v>41000</v>
      </c>
      <c r="L89" s="142">
        <v>41030</v>
      </c>
      <c r="M89" s="142">
        <v>41061</v>
      </c>
      <c r="N89" s="12">
        <v>1112</v>
      </c>
      <c r="O89" s="12"/>
      <c r="P89" s="12"/>
      <c r="Q89" s="12"/>
      <c r="R89" s="12"/>
      <c r="S89" s="12"/>
      <c r="T89" s="12"/>
      <c r="U89" s="12"/>
      <c r="V89" s="12"/>
      <c r="W89" s="142"/>
      <c r="X89" s="33" t="s">
        <v>632</v>
      </c>
      <c r="Y89" s="142">
        <v>41091</v>
      </c>
      <c r="Z89" s="142">
        <v>41122</v>
      </c>
      <c r="AA89" s="142">
        <v>41153</v>
      </c>
      <c r="AB89" s="142">
        <v>41183</v>
      </c>
      <c r="AC89" s="142">
        <v>41214</v>
      </c>
      <c r="AD89" s="142">
        <v>41244</v>
      </c>
      <c r="AE89" s="142">
        <v>41275</v>
      </c>
      <c r="AF89" s="142">
        <v>41306</v>
      </c>
      <c r="AG89" s="142">
        <v>41334</v>
      </c>
      <c r="AH89" s="142">
        <v>41365</v>
      </c>
      <c r="AI89" s="142">
        <v>41395</v>
      </c>
      <c r="AJ89" s="142">
        <v>41426</v>
      </c>
      <c r="AK89" s="12" t="s">
        <v>881</v>
      </c>
      <c r="AL89" s="142"/>
      <c r="AN89" s="33" t="s">
        <v>632</v>
      </c>
      <c r="AO89" s="142">
        <v>41456</v>
      </c>
      <c r="AP89" s="142">
        <v>41487</v>
      </c>
      <c r="AQ89" s="142">
        <v>41518</v>
      </c>
      <c r="AR89" s="142">
        <v>41548</v>
      </c>
      <c r="AS89" s="142">
        <v>41579</v>
      </c>
      <c r="AT89" s="142">
        <v>41609</v>
      </c>
      <c r="AU89" s="142">
        <v>41640</v>
      </c>
      <c r="AV89" s="142">
        <v>41671</v>
      </c>
      <c r="AW89" s="142">
        <v>41699</v>
      </c>
      <c r="AX89" s="142">
        <v>41730</v>
      </c>
      <c r="AY89" s="142">
        <v>41760</v>
      </c>
      <c r="AZ89" s="142">
        <v>41791</v>
      </c>
      <c r="BA89" s="12" t="s">
        <v>912</v>
      </c>
    </row>
    <row r="90" spans="1:53">
      <c r="A90" s="1" t="s">
        <v>118</v>
      </c>
      <c r="B90" s="166">
        <f>+'YR REPORTS'!D55/$B$1</f>
        <v>2.2996329156107693</v>
      </c>
      <c r="C90" s="166">
        <f>+'YR REPORTS'!E55/$B$1</f>
        <v>4.7575141587938106</v>
      </c>
      <c r="D90" s="166">
        <f>+'YR REPORTS'!F55/$B$1</f>
        <v>7.1833152939726377</v>
      </c>
      <c r="E90" s="166">
        <f>+'YR REPORTS'!G55/$B$1</f>
        <v>11.127593125367149</v>
      </c>
      <c r="F90" s="166">
        <f>+'YR REPORTS'!H55/$B$1</f>
        <v>16.341871181321771</v>
      </c>
      <c r="G90" s="166">
        <f>+'YR REPORTS'!I55/$B$1</f>
        <v>24.045730911341749</v>
      </c>
      <c r="H90" s="166">
        <f>+'YR REPORTS'!J55/$B$1</f>
        <v>33.324335504527049</v>
      </c>
      <c r="I90" s="166">
        <f>+'YR REPORTS'!K55/$B$1</f>
        <v>40.94216982334359</v>
      </c>
      <c r="J90" s="166">
        <f>+'YR REPORTS'!L55/$B$1</f>
        <v>45.590825368994302</v>
      </c>
      <c r="K90" s="166">
        <f>+'YR REPORTS'!M55/$B$1</f>
        <v>48.973604883821324</v>
      </c>
      <c r="L90" s="166">
        <f>+'YR REPORTS'!N55/$B$1</f>
        <v>50.981077007117371</v>
      </c>
      <c r="M90" s="166">
        <f>+'YR REPORTS'!O55/$B$1</f>
        <v>52.937397627091272</v>
      </c>
      <c r="N90" s="166"/>
      <c r="W90" s="166"/>
      <c r="X90" s="1" t="s">
        <v>118</v>
      </c>
      <c r="Y90" s="166">
        <f>+'YR REPORTS'!U55/$Y$1</f>
        <v>2.3376377397080121</v>
      </c>
      <c r="Z90" s="166">
        <f>+'YR REPORTS'!V55/$Y$1</f>
        <v>4.7435787995445766</v>
      </c>
      <c r="AA90" s="166">
        <f>+'YR REPORTS'!W55/$Y$1</f>
        <v>7.3402648921247575</v>
      </c>
      <c r="AB90" s="166">
        <f>+'YR REPORTS'!X55/$Y$1</f>
        <v>11.471256192074199</v>
      </c>
      <c r="AC90" s="166">
        <f>+'YR REPORTS'!Y55/$Y$1</f>
        <v>17.455200590903655</v>
      </c>
      <c r="AD90" s="166">
        <f>+'YR REPORTS'!Z55/$Y$1</f>
        <v>26.019792964783498</v>
      </c>
      <c r="AE90" s="166">
        <f>+'YR REPORTS'!AA55/$Y$1</f>
        <v>35.440960731549417</v>
      </c>
      <c r="AF90" s="166">
        <f>+'YR REPORTS'!AB55/$Y$1</f>
        <v>43.476027353006366</v>
      </c>
      <c r="AG90" s="166">
        <f>+'YR REPORTS'!AC55/$Y$1</f>
        <v>50.428885367709505</v>
      </c>
      <c r="AH90" s="166">
        <f>+'YR REPORTS'!AD55/$Y$1</f>
        <v>54.907896293158458</v>
      </c>
      <c r="AI90" s="166">
        <f>+'YR REPORTS'!AE55/$Y$1</f>
        <v>57.883351568454401</v>
      </c>
      <c r="AJ90" s="166">
        <f>+'YR REPORTS'!AF55/$Y$1</f>
        <v>60.283714564475993</v>
      </c>
      <c r="AK90" s="166"/>
      <c r="AL90" s="166"/>
      <c r="AN90" s="1" t="s">
        <v>118</v>
      </c>
      <c r="AO90" s="166">
        <f>+'YR REPORTS'!AK55/$AO$1</f>
        <v>2.4904464788649903</v>
      </c>
      <c r="AP90" s="166">
        <f>+'YR REPORTS'!AL55/$AO$1</f>
        <v>4.9876734481189606</v>
      </c>
      <c r="AQ90" s="166">
        <f>+'YR REPORTS'!AM55/$AO$1</f>
        <v>7.6689678995443895</v>
      </c>
      <c r="AR90" s="166">
        <f>+'YR REPORTS'!AN55/$AO$1</f>
        <v>12.053928330831821</v>
      </c>
      <c r="AS90" s="166">
        <f>+'YR REPORTS'!AO55/$AO$1</f>
        <v>18.627649255439721</v>
      </c>
      <c r="AT90" s="166">
        <f>+'YR REPORTS'!AP55/$AO$1</f>
        <v>27.862839359364994</v>
      </c>
      <c r="AU90" s="166">
        <f>+'YR REPORTS'!AQ55/$AO$1</f>
        <v>38.009911058742844</v>
      </c>
      <c r="AV90" s="166">
        <f>+'YR REPORTS'!AR55/$AO$1</f>
        <v>46.597997827878245</v>
      </c>
      <c r="AW90" s="166">
        <f>+'YR REPORTS'!AS55/$AO$1</f>
        <v>54.007943311927704</v>
      </c>
      <c r="AX90" s="166">
        <f>+'YR REPORTS'!AT55/$AO$1</f>
        <v>58.685605989739621</v>
      </c>
      <c r="AY90" s="166">
        <f>+'YR REPORTS'!AU55/$AO$1</f>
        <v>61.925512397489882</v>
      </c>
      <c r="AZ90" s="166">
        <f>+'YR REPORTS'!AV55/$AO$1</f>
        <v>64.513287069555332</v>
      </c>
    </row>
    <row r="91" spans="1:53">
      <c r="A91" s="1" t="s">
        <v>119</v>
      </c>
      <c r="B91" s="166">
        <f>+'YR REPORTS'!D89/$B$1</f>
        <v>1.483077738</v>
      </c>
      <c r="C91" s="166">
        <f>+'YR REPORTS'!E89/$B$1</f>
        <v>3.2097772760000005</v>
      </c>
      <c r="D91" s="166">
        <f>+'YR REPORTS'!F89/$B$1</f>
        <v>5.1501857300000005</v>
      </c>
      <c r="E91" s="166">
        <f>+'YR REPORTS'!G89/$B$1</f>
        <v>8.6466452460000021</v>
      </c>
      <c r="F91" s="166">
        <f>+'YR REPORTS'!H89/$B$1</f>
        <v>15.252227278000001</v>
      </c>
      <c r="G91" s="166">
        <f>+'YR REPORTS'!I89/$B$1</f>
        <v>24.259012569999999</v>
      </c>
      <c r="H91" s="166">
        <f>+'YR REPORTS'!J89/$B$1</f>
        <v>34.567524298000002</v>
      </c>
      <c r="I91" s="166">
        <f>+'YR REPORTS'!K89/$B$1</f>
        <v>43.743765442000004</v>
      </c>
      <c r="J91" s="166">
        <f>+'YR REPORTS'!L89/$B$1</f>
        <v>47.614060462000005</v>
      </c>
      <c r="K91" s="166">
        <f>+'YR REPORTS'!M89/$B$1</f>
        <v>50.323481478000005</v>
      </c>
      <c r="L91" s="166">
        <f>+'YR REPORTS'!N89/$B$1</f>
        <v>52.08768493800001</v>
      </c>
      <c r="M91" s="166">
        <f>+'YR REPORTS'!O89/$B$1</f>
        <v>53.420761490000011</v>
      </c>
      <c r="N91" s="166"/>
      <c r="W91" s="166"/>
      <c r="X91" s="1" t="s">
        <v>119</v>
      </c>
      <c r="Y91" s="166">
        <f>+'YR REPORTS'!U89/$Y$1</f>
        <v>1.2767734399999999</v>
      </c>
      <c r="Z91" s="166">
        <f>+'YR REPORTS'!V89/$Y$1</f>
        <v>2.5535468799999999</v>
      </c>
      <c r="AA91" s="166">
        <f>+'YR REPORTS'!W89/$Y$1</f>
        <v>4.0422144399999995</v>
      </c>
      <c r="AB91" s="166">
        <f>+'YR REPORTS'!X89/$Y$1</f>
        <v>7.3046953200000004</v>
      </c>
      <c r="AC91" s="166">
        <f>+'YR REPORTS'!Y89/$Y$1</f>
        <v>12.84264864</v>
      </c>
      <c r="AD91" s="166">
        <f>+'YR REPORTS'!Z89/$Y$1</f>
        <v>21.371147780000001</v>
      </c>
      <c r="AE91" s="166">
        <f>+'YR REPORTS'!AA89/$Y$1</f>
        <v>30.78542818</v>
      </c>
      <c r="AF91" s="166">
        <f>+'YR REPORTS'!AB89/$Y$1</f>
        <v>38.508998399999996</v>
      </c>
      <c r="AG91" s="166">
        <f>+'YR REPORTS'!AC89/$Y$1</f>
        <v>44.798709739999993</v>
      </c>
      <c r="AH91" s="166">
        <f>+'YR REPORTS'!AD89/$Y$1</f>
        <v>48.370423339999995</v>
      </c>
      <c r="AI91" s="166">
        <f>+'YR REPORTS'!AE89/$Y$1</f>
        <v>50.367502419999994</v>
      </c>
      <c r="AJ91" s="166">
        <f>+'YR REPORTS'!AF89/$Y$1</f>
        <v>51.651758919999992</v>
      </c>
      <c r="AK91" s="166"/>
      <c r="AL91" s="166"/>
      <c r="AN91" s="1" t="s">
        <v>119</v>
      </c>
      <c r="AO91" s="166">
        <f>+'YR REPORTS'!AK89/$AO$1</f>
        <v>1.2959934399999999</v>
      </c>
      <c r="AP91" s="166">
        <f>+'YR REPORTS'!AL89/$AO$1</f>
        <v>2.5919868799999999</v>
      </c>
      <c r="AQ91" s="166">
        <f>+'YR REPORTS'!AM89/$AO$1</f>
        <v>4.1029009399999996</v>
      </c>
      <c r="AR91" s="166">
        <f>+'YR REPORTS'!AN89/$AO$1</f>
        <v>7.41321282</v>
      </c>
      <c r="AS91" s="166">
        <f>+'YR REPORTS'!AO89/$AO$1</f>
        <v>13.031756640000001</v>
      </c>
      <c r="AT91" s="166">
        <f>+'YR REPORTS'!AP89/$AO$1</f>
        <v>21.68396203</v>
      </c>
      <c r="AU91" s="166">
        <f>+'YR REPORTS'!AQ89/$AO$1</f>
        <v>31.234711430000004</v>
      </c>
      <c r="AV91" s="166">
        <f>+'YR REPORTS'!AR89/$AO$1</f>
        <v>39.070310400000004</v>
      </c>
      <c r="AW91" s="166">
        <f>+'YR REPORTS'!AS89/$AO$1</f>
        <v>45.451470490000013</v>
      </c>
      <c r="AX91" s="166">
        <f>+'YR REPORTS'!AT89/$AO$1</f>
        <v>49.075444090000012</v>
      </c>
      <c r="AY91" s="166">
        <f>+'YR REPORTS'!AU89/$AO$1</f>
        <v>51.10212167000001</v>
      </c>
      <c r="AZ91" s="166">
        <f>+'YR REPORTS'!AV89/$AO$1</f>
        <v>52.405679420000013</v>
      </c>
    </row>
    <row r="111" spans="1:53">
      <c r="A111" s="33" t="s">
        <v>333</v>
      </c>
      <c r="B111" s="142">
        <v>40725</v>
      </c>
      <c r="C111" s="142">
        <v>40756</v>
      </c>
      <c r="D111" s="142">
        <v>40787</v>
      </c>
      <c r="E111" s="142">
        <v>40817</v>
      </c>
      <c r="F111" s="142">
        <v>40848</v>
      </c>
      <c r="G111" s="142">
        <v>40878</v>
      </c>
      <c r="H111" s="142">
        <v>40909</v>
      </c>
      <c r="I111" s="142">
        <v>40940</v>
      </c>
      <c r="J111" s="142">
        <v>40969</v>
      </c>
      <c r="K111" s="142">
        <v>41000</v>
      </c>
      <c r="L111" s="142">
        <v>41030</v>
      </c>
      <c r="M111" s="142">
        <v>41061</v>
      </c>
      <c r="N111" s="12">
        <v>1112</v>
      </c>
      <c r="O111" s="12"/>
      <c r="P111" s="12"/>
      <c r="Q111" s="12"/>
      <c r="R111" s="12"/>
      <c r="S111" s="12"/>
      <c r="T111" s="12"/>
      <c r="U111" s="12"/>
      <c r="V111" s="12"/>
      <c r="W111" s="142"/>
      <c r="X111" s="33" t="s">
        <v>308</v>
      </c>
      <c r="Y111" s="142">
        <v>41091</v>
      </c>
      <c r="Z111" s="142">
        <v>41122</v>
      </c>
      <c r="AA111" s="142">
        <v>41153</v>
      </c>
      <c r="AB111" s="142">
        <v>41183</v>
      </c>
      <c r="AC111" s="142">
        <v>41214</v>
      </c>
      <c r="AD111" s="142">
        <v>41244</v>
      </c>
      <c r="AE111" s="142">
        <v>41275</v>
      </c>
      <c r="AF111" s="142">
        <v>41306</v>
      </c>
      <c r="AG111" s="142">
        <v>41334</v>
      </c>
      <c r="AH111" s="142">
        <v>41365</v>
      </c>
      <c r="AI111" s="142">
        <v>41395</v>
      </c>
      <c r="AJ111" s="142">
        <v>41426</v>
      </c>
      <c r="AK111" s="12" t="s">
        <v>881</v>
      </c>
      <c r="AL111" s="142"/>
      <c r="AN111" s="33" t="s">
        <v>308</v>
      </c>
      <c r="AO111" s="142">
        <v>41456</v>
      </c>
      <c r="AP111" s="142">
        <v>41487</v>
      </c>
      <c r="AQ111" s="142">
        <v>41518</v>
      </c>
      <c r="AR111" s="142">
        <v>41548</v>
      </c>
      <c r="AS111" s="142">
        <v>41579</v>
      </c>
      <c r="AT111" s="142">
        <v>41609</v>
      </c>
      <c r="AU111" s="142">
        <v>41640</v>
      </c>
      <c r="AV111" s="142">
        <v>41671</v>
      </c>
      <c r="AW111" s="142">
        <v>41699</v>
      </c>
      <c r="AX111" s="142">
        <v>41730</v>
      </c>
      <c r="AY111" s="142">
        <v>41760</v>
      </c>
      <c r="AZ111" s="142">
        <v>41791</v>
      </c>
      <c r="BA111" s="12" t="s">
        <v>912</v>
      </c>
    </row>
    <row r="112" spans="1:53">
      <c r="A112" s="1" t="s">
        <v>122</v>
      </c>
      <c r="B112" s="166">
        <f>+'YR REPORTS'!D90/$B$1</f>
        <v>-1.0165551776107693</v>
      </c>
      <c r="C112" s="166">
        <f>+'YR REPORTS'!E90/$B$1</f>
        <v>-0.95118170518304157</v>
      </c>
      <c r="D112" s="166">
        <f>+'YR REPORTS'!F90/$B$1</f>
        <v>-0.58539268117882681</v>
      </c>
      <c r="E112" s="166">
        <f>+'YR REPORTS'!G90/$B$1</f>
        <v>-0.50781831539450917</v>
      </c>
      <c r="F112" s="166">
        <f>+'YR REPORTS'!H90/$B$1</f>
        <v>1.3613039760453758</v>
      </c>
      <c r="G112" s="166">
        <f>+'YR REPORTS'!I90/$B$1</f>
        <v>1.3029255619800231</v>
      </c>
      <c r="H112" s="166">
        <f>+'YR REPORTS'!J90/$B$1</f>
        <v>1.029907134814702</v>
      </c>
      <c r="I112" s="166">
        <f>+'YR REPORTS'!K90/$B$1</f>
        <v>1.5584068251834595</v>
      </c>
      <c r="J112" s="166">
        <f>+'YR REPORTS'!L90/$B$1</f>
        <v>-0.81836052565071127</v>
      </c>
      <c r="K112" s="166">
        <f>+'YR REPORTS'!M90/$B$1</f>
        <v>-0.82835849882701973</v>
      </c>
      <c r="L112" s="166">
        <f>+'YR REPORTS'!N90/$B$1</f>
        <v>-0.42826866329604762</v>
      </c>
      <c r="M112" s="166">
        <f>+'YR REPORTS'!O90/$B$1</f>
        <v>-0.81324406797390847</v>
      </c>
      <c r="W112" s="166"/>
      <c r="X112" s="1" t="s">
        <v>122</v>
      </c>
      <c r="Y112" s="166">
        <f>+'YR REPORTS'!U90/$Y$1</f>
        <v>-1.2608642997080119</v>
      </c>
      <c r="Z112" s="166">
        <f>+'YR REPORTS'!V90/$Y$1</f>
        <v>-1.3491676198365647</v>
      </c>
      <c r="AA112" s="166">
        <f>+'YR REPORTS'!W90/$Y$1</f>
        <v>-1.20801853258018</v>
      </c>
      <c r="AB112" s="166">
        <f>+'YR REPORTS'!X90/$Y$1</f>
        <v>-0.92851041994944072</v>
      </c>
      <c r="AC112" s="166">
        <f>+'YR REPORTS'!Y90/$Y$1</f>
        <v>-0.47599107882945796</v>
      </c>
      <c r="AD112" s="166">
        <f>+'YR REPORTS'!Z90/$Y$1</f>
        <v>-3.6093233879840002E-2</v>
      </c>
      <c r="AE112" s="166">
        <f>+'YR REPORTS'!AA90/$Y$1</f>
        <v>-6.8873667659219351E-3</v>
      </c>
      <c r="AF112" s="166">
        <f>+'YR REPORTS'!AB90/$Y$1</f>
        <v>-0.31149640145694374</v>
      </c>
      <c r="AG112" s="166">
        <f>+'YR REPORTS'!AC90/$Y$1</f>
        <v>-0.70314667470314351</v>
      </c>
      <c r="AH112" s="166">
        <f>+'YR REPORTS'!AD90/$Y$1</f>
        <v>-1.0622973254489567</v>
      </c>
      <c r="AI112" s="166">
        <f>+'YR REPORTS'!AE90/$Y$1</f>
        <v>-1.1633761952959401</v>
      </c>
      <c r="AJ112" s="166">
        <f>+'YR REPORTS'!AF90/$Y$1</f>
        <v>-1.3061064960215878</v>
      </c>
      <c r="AK112" s="166"/>
      <c r="AL112" s="166"/>
      <c r="AN112" s="1" t="s">
        <v>122</v>
      </c>
      <c r="AO112" s="166">
        <f>+'YR REPORTS'!AK90/$AO$1</f>
        <v>-1.3944530388649903</v>
      </c>
      <c r="AP112" s="166">
        <f>+'YR REPORTS'!AL90/$AO$1</f>
        <v>-1.4212335292539708</v>
      </c>
      <c r="AQ112" s="166">
        <f>+'YR REPORTS'!AM90/$AO$1</f>
        <v>-1.2703803914254295</v>
      </c>
      <c r="AR112" s="166">
        <f>+'YR REPORTS'!AN90/$AO$1</f>
        <v>-1.1346485512874331</v>
      </c>
      <c r="AS112" s="166">
        <f>+'YR REPORTS'!AO90/$AO$1</f>
        <v>-0.98517710460789876</v>
      </c>
      <c r="AT112" s="166">
        <f>+'YR REPORTS'!AP90/$AO$1</f>
        <v>-0.5829847139252704</v>
      </c>
      <c r="AU112" s="166">
        <f>+'YR REPORTS'!AQ90/$AO$1</f>
        <v>-0.59632229937784742</v>
      </c>
      <c r="AV112" s="166">
        <f>+'YR REPORTS'!AR90/$AO$1</f>
        <v>-0.75248779913540276</v>
      </c>
      <c r="AW112" s="166">
        <f>+'YR REPORTS'!AS90/$AO$1</f>
        <v>-1.06878539404946</v>
      </c>
      <c r="AX112" s="166">
        <f>+'YR REPORTS'!AT90/$AO$1</f>
        <v>-1.208689077811913</v>
      </c>
      <c r="AY112" s="166">
        <f>+'YR REPORTS'!AU90/$AO$1</f>
        <v>-1.3982288277502639</v>
      </c>
      <c r="AZ112" s="166">
        <f>+'YR REPORTS'!AV90/$AO$1</f>
        <v>-1.4742169220654551</v>
      </c>
    </row>
    <row r="113" spans="1:52">
      <c r="A113" s="1" t="s">
        <v>123</v>
      </c>
      <c r="B113" s="166">
        <f>+'YR REPORTS'!D91/$B$1</f>
        <v>7.3416737705199049</v>
      </c>
      <c r="C113" s="166">
        <f>+'YR REPORTS'!E91/$B$1</f>
        <v>6.3904920653368631</v>
      </c>
      <c r="D113" s="166">
        <f>+'YR REPORTS'!F91/$B$1</f>
        <v>5.8050993841580363</v>
      </c>
      <c r="E113" s="166">
        <f>+'YR REPORTS'!G91/$B$1</f>
        <v>5.2972810687635281</v>
      </c>
      <c r="F113" s="166">
        <f>+'YR REPORTS'!H91/$B$1</f>
        <v>6.6585850448089037</v>
      </c>
      <c r="G113" s="166">
        <f>+'YR REPORTS'!I91/$B$1</f>
        <v>7.9615106067889272</v>
      </c>
      <c r="H113" s="166">
        <f>+'YR REPORTS'!J91/$B$1</f>
        <v>8.9914177416036285</v>
      </c>
      <c r="I113" s="166">
        <f>+'YR REPORTS'!K91/$B$1</f>
        <v>10.549824566787086</v>
      </c>
      <c r="J113" s="166">
        <f>+'YR REPORTS'!L91/$B$1</f>
        <v>9.7314640411363751</v>
      </c>
      <c r="K113" s="166">
        <f>+'YR REPORTS'!M91/$B$1</f>
        <v>8.9031055423093548</v>
      </c>
      <c r="L113" s="166">
        <f>+'YR REPORTS'!N91/$B$1</f>
        <v>8.4748368790133082</v>
      </c>
      <c r="M113" s="166">
        <f>+'YR REPORTS'!O91/$B$1</f>
        <v>7.6615928110393989</v>
      </c>
      <c r="W113" s="166"/>
      <c r="X113" s="1" t="s">
        <v>123</v>
      </c>
      <c r="Y113" s="166">
        <f>+'YR REPORTS'!U91/$Y$1</f>
        <v>6.400728511331387</v>
      </c>
      <c r="Z113" s="166">
        <f>+'YR REPORTS'!V91/$Y$1</f>
        <v>5.0515608914948213</v>
      </c>
      <c r="AA113" s="166">
        <f>+'YR REPORTS'!W91/$Y$1</f>
        <v>3.8435423589146418</v>
      </c>
      <c r="AB113" s="166">
        <f>+'YR REPORTS'!X91/$Y$1</f>
        <v>2.9150319389652011</v>
      </c>
      <c r="AC113" s="166">
        <f>+'YR REPORTS'!Y91/$Y$1</f>
        <v>2.4390408601357429</v>
      </c>
      <c r="AD113" s="166">
        <f>+'YR REPORTS'!Z91/$Y$1</f>
        <v>2.4029476262559029</v>
      </c>
      <c r="AE113" s="166">
        <f>+'YR REPORTS'!AA91/$Y$1</f>
        <v>2.3960602594899809</v>
      </c>
      <c r="AF113" s="166">
        <f>+'YR REPORTS'!AB91/$Y$1</f>
        <v>2.0845638580330372</v>
      </c>
      <c r="AG113" s="166">
        <f>+'YR REPORTS'!AC91/$Y$1</f>
        <v>1.3814171833298938</v>
      </c>
      <c r="AH113" s="166">
        <f>+'YR REPORTS'!AD91/$Y$1</f>
        <v>0.31911985788093694</v>
      </c>
      <c r="AI113" s="166">
        <f>+'YR REPORTS'!AE91/$Y$1</f>
        <v>-0.84425633741500317</v>
      </c>
      <c r="AJ113" s="166">
        <f>+'YR REPORTS'!AF91/$Y$1</f>
        <v>-2.1503628334365912</v>
      </c>
      <c r="AK113" s="166"/>
      <c r="AL113" s="166"/>
      <c r="AN113" s="1" t="s">
        <v>123</v>
      </c>
      <c r="AO113" s="166">
        <f>+'YR REPORTS'!AK91/$AO$1</f>
        <v>-3.5448158723015815</v>
      </c>
      <c r="AP113" s="166">
        <f>+'YR REPORTS'!AL91/$AO$1</f>
        <v>-4.9660494015555523</v>
      </c>
      <c r="AQ113" s="166">
        <f>+'YR REPORTS'!AM91/$AO$1</f>
        <v>-6.2364297929809824</v>
      </c>
      <c r="AR113" s="166">
        <f>+'YR REPORTS'!AN91/$AO$1</f>
        <v>-7.3710783442684153</v>
      </c>
      <c r="AS113" s="166">
        <f>+'YR REPORTS'!AO91/$AO$1</f>
        <v>-8.356255448876313</v>
      </c>
      <c r="AT113" s="166">
        <f>+'YR REPORTS'!AP91/$AO$1</f>
        <v>-8.9392401628015836</v>
      </c>
      <c r="AU113" s="166">
        <f>+'YR REPORTS'!AQ91/$AO$1</f>
        <v>-9.5355624621794313</v>
      </c>
      <c r="AV113" s="166">
        <f>+'YR REPORTS'!AR91/$AO$1</f>
        <v>-10.288050261314835</v>
      </c>
      <c r="AW113" s="166">
        <f>+'YR REPORTS'!AS91/$AO$1</f>
        <v>-11.356835655364295</v>
      </c>
      <c r="AX113" s="166">
        <f>+'YR REPORTS'!AT91/$AO$1</f>
        <v>-12.565524733176209</v>
      </c>
      <c r="AY113" s="166">
        <f>+'YR REPORTS'!AU91/$AO$1</f>
        <v>-13.963753560926472</v>
      </c>
      <c r="AZ113" s="166">
        <f>+'YR REPORTS'!AV91/$AO$1</f>
        <v>-15.437970482991929</v>
      </c>
    </row>
    <row r="137" spans="1:53">
      <c r="A137" s="241" t="s">
        <v>367</v>
      </c>
      <c r="B137" s="142">
        <v>40725</v>
      </c>
      <c r="C137" s="142">
        <v>40756</v>
      </c>
      <c r="D137" s="142">
        <v>40787</v>
      </c>
      <c r="E137" s="142">
        <v>40817</v>
      </c>
      <c r="F137" s="142">
        <v>40848</v>
      </c>
      <c r="G137" s="142">
        <v>40878</v>
      </c>
      <c r="H137" s="142">
        <v>40909</v>
      </c>
      <c r="I137" s="142">
        <v>40940</v>
      </c>
      <c r="J137" s="142">
        <v>40969</v>
      </c>
      <c r="K137" s="142">
        <v>41000</v>
      </c>
      <c r="L137" s="142">
        <v>41030</v>
      </c>
      <c r="M137" s="142">
        <v>41061</v>
      </c>
      <c r="N137" s="12">
        <v>1112</v>
      </c>
      <c r="X137" s="241" t="s">
        <v>367</v>
      </c>
      <c r="Y137" s="142">
        <v>41091</v>
      </c>
      <c r="Z137" s="142">
        <v>41122</v>
      </c>
      <c r="AA137" s="142">
        <v>41153</v>
      </c>
      <c r="AB137" s="142">
        <v>41183</v>
      </c>
      <c r="AC137" s="142">
        <v>41214</v>
      </c>
      <c r="AD137" s="142">
        <v>41244</v>
      </c>
      <c r="AE137" s="142">
        <v>41275</v>
      </c>
      <c r="AF137" s="142">
        <v>41306</v>
      </c>
      <c r="AG137" s="142">
        <v>41334</v>
      </c>
      <c r="AH137" s="142">
        <v>41365</v>
      </c>
      <c r="AI137" s="142">
        <v>41395</v>
      </c>
      <c r="AJ137" s="142">
        <v>41426</v>
      </c>
      <c r="AK137" s="12">
        <v>1213</v>
      </c>
      <c r="AN137" s="241" t="s">
        <v>367</v>
      </c>
      <c r="AO137" s="142">
        <v>41456</v>
      </c>
      <c r="AP137" s="142">
        <v>41487</v>
      </c>
      <c r="AQ137" s="142">
        <v>41518</v>
      </c>
      <c r="AR137" s="142">
        <v>41548</v>
      </c>
      <c r="AS137" s="142">
        <v>41579</v>
      </c>
      <c r="AT137" s="142">
        <v>41609</v>
      </c>
      <c r="AU137" s="142">
        <v>41640</v>
      </c>
      <c r="AV137" s="142">
        <v>41671</v>
      </c>
      <c r="AW137" s="142">
        <v>41699</v>
      </c>
      <c r="AX137" s="142">
        <v>41730</v>
      </c>
      <c r="AY137" s="142">
        <v>41760</v>
      </c>
      <c r="AZ137" s="142">
        <v>41791</v>
      </c>
      <c r="BA137" s="12">
        <v>1314</v>
      </c>
    </row>
    <row r="138" spans="1:53">
      <c r="A138" s="1" t="s">
        <v>123</v>
      </c>
      <c r="B138" s="175">
        <f>+'YR REPORTS'!D92</f>
        <v>0.13868595925770869</v>
      </c>
      <c r="C138" s="175">
        <f>+'YR REPORTS'!E92</f>
        <v>0.1207179111892433</v>
      </c>
      <c r="D138" s="175">
        <f>+'YR REPORTS'!F92</f>
        <v>0.10965970456370178</v>
      </c>
      <c r="E138" s="175">
        <f>+'YR REPORTS'!G92</f>
        <v>0.10006689611150414</v>
      </c>
      <c r="F138" s="175">
        <f>+'YR REPORTS'!H92</f>
        <v>0.12578225117362593</v>
      </c>
      <c r="G138" s="175">
        <f>+'YR REPORTS'!I92</f>
        <v>0.15039482414440675</v>
      </c>
      <c r="H138" s="175">
        <f>+'YR REPORTS'!J92</f>
        <v>0.16985001425536972</v>
      </c>
      <c r="I138" s="175">
        <f>+'YR REPORTS'!K92</f>
        <v>0.19928868889822612</v>
      </c>
      <c r="J138" s="175">
        <f>+'YR REPORTS'!L92</f>
        <v>0.18382966442151277</v>
      </c>
      <c r="K138" s="175">
        <f>+'YR REPORTS'!M92</f>
        <v>0.1681817758595881</v>
      </c>
      <c r="L138" s="175">
        <f>+'YR REPORTS'!N92</f>
        <v>0.16009167920782377</v>
      </c>
      <c r="M138" s="175">
        <f>+'YR REPORTS'!O92</f>
        <v>0.14472930583044941</v>
      </c>
      <c r="X138" s="1" t="s">
        <v>123</v>
      </c>
      <c r="Y138" s="175">
        <f>+'YR REPORTS'!U92</f>
        <v>0.10617674371219338</v>
      </c>
      <c r="Z138" s="175">
        <f>+'YR REPORTS'!V92</f>
        <v>8.3796443666256881E-2</v>
      </c>
      <c r="AA138" s="175">
        <f>+'YR REPORTS'!W92</f>
        <v>6.3757556857313602E-2</v>
      </c>
      <c r="AB138" s="175">
        <f>+'YR REPORTS'!X92</f>
        <v>4.8355214339810638E-2</v>
      </c>
      <c r="AC138" s="175">
        <f>+'YR REPORTS'!Y92</f>
        <v>4.0459365813085145E-2</v>
      </c>
      <c r="AD138" s="175">
        <f>+'YR REPORTS'!Z92</f>
        <v>3.9860643021356099E-2</v>
      </c>
      <c r="AE138" s="175">
        <f>+'YR REPORTS'!AA92</f>
        <v>3.9746393811338432E-2</v>
      </c>
      <c r="AF138" s="175">
        <f>+'YR REPORTS'!AB92</f>
        <v>3.4579220492518055E-2</v>
      </c>
      <c r="AG138" s="175">
        <f>+'YR REPORTS'!AC92</f>
        <v>2.2915263157057275E-2</v>
      </c>
      <c r="AH138" s="175">
        <f>+'YR REPORTS'!AD92</f>
        <v>5.2936329518915876E-3</v>
      </c>
      <c r="AI138" s="175">
        <f>+'YR REPORTS'!AE92</f>
        <v>-1.4004716589121847E-2</v>
      </c>
      <c r="AJ138" s="175">
        <f>+'YR REPORTS'!AF92</f>
        <v>-3.5670708896623923E-2</v>
      </c>
      <c r="AK138" s="10"/>
      <c r="AN138" s="1" t="s">
        <v>123</v>
      </c>
      <c r="AO138" s="175">
        <f>+'YR REPORTS'!AK92</f>
        <v>-5.494706646213391E-2</v>
      </c>
      <c r="AP138" s="175">
        <f>+'YR REPORTS'!AL92</f>
        <v>-7.697715660033537E-2</v>
      </c>
      <c r="AQ138" s="175">
        <f>+'YR REPORTS'!AM92</f>
        <v>-9.6668920097919414E-2</v>
      </c>
      <c r="AR138" s="175">
        <f>+'YR REPORTS'!AN92</f>
        <v>-0.11425674739408719</v>
      </c>
      <c r="AS138" s="175">
        <f>+'YR REPORTS'!AO92</f>
        <v>-0.12952766520588191</v>
      </c>
      <c r="AT138" s="175">
        <f>+'YR REPORTS'!AP92</f>
        <v>-0.13856432634045907</v>
      </c>
      <c r="AU138" s="175">
        <f>+'YR REPORTS'!AQ92</f>
        <v>-0.14780772915660947</v>
      </c>
      <c r="AV138" s="175">
        <f>+'YR REPORTS'!AR92</f>
        <v>-0.15947180385061949</v>
      </c>
      <c r="AW138" s="175">
        <f>+'YR REPORTS'!AS92</f>
        <v>-0.17603870723746975</v>
      </c>
      <c r="AX138" s="175">
        <f>+'YR REPORTS'!AT92</f>
        <v>-0.19477421325049868</v>
      </c>
      <c r="AY138" s="175">
        <f>+'YR REPORTS'!AU92</f>
        <v>-0.21644771480751523</v>
      </c>
      <c r="AZ138" s="175">
        <f>+'YR REPORTS'!AV92</f>
        <v>-0.23929908371197084</v>
      </c>
      <c r="BA138" s="10"/>
    </row>
    <row r="159" spans="1:14">
      <c r="A159" s="33"/>
      <c r="B159" s="142"/>
      <c r="C159" s="142"/>
      <c r="D159" s="142"/>
      <c r="E159" s="142"/>
      <c r="F159" s="142"/>
      <c r="G159" s="142"/>
      <c r="H159" s="142"/>
      <c r="I159" s="142"/>
      <c r="J159" s="142"/>
      <c r="K159" s="142"/>
      <c r="L159" s="142"/>
      <c r="M159" s="142"/>
      <c r="N159" s="11"/>
    </row>
    <row r="160" spans="1:14">
      <c r="B160" s="108"/>
      <c r="C160" s="108"/>
      <c r="D160" s="108"/>
      <c r="E160" s="108"/>
      <c r="F160" s="108"/>
    </row>
    <row r="161" spans="2:6">
      <c r="B161" s="108"/>
      <c r="C161" s="108"/>
      <c r="D161" s="108"/>
      <c r="E161" s="108"/>
      <c r="F161" s="108"/>
    </row>
    <row r="185" spans="1:14">
      <c r="A185" s="33"/>
      <c r="B185" s="142"/>
      <c r="C185" s="142"/>
      <c r="D185" s="142"/>
      <c r="E185" s="142"/>
      <c r="F185" s="142"/>
      <c r="G185" s="142"/>
      <c r="H185" s="142"/>
      <c r="I185" s="142"/>
      <c r="J185" s="142"/>
      <c r="K185" s="142"/>
      <c r="L185" s="142"/>
      <c r="M185" s="142"/>
      <c r="N185" s="11"/>
    </row>
    <row r="186" spans="1:14"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</row>
    <row r="187" spans="1:14"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</row>
    <row r="188" spans="1:14"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</row>
    <row r="213" spans="1:13">
      <c r="A213" s="33" t="s">
        <v>545</v>
      </c>
      <c r="B213" s="142">
        <v>38899</v>
      </c>
      <c r="C213" s="142">
        <v>38930</v>
      </c>
      <c r="D213" s="142">
        <v>38961</v>
      </c>
      <c r="E213" s="142">
        <v>38991</v>
      </c>
      <c r="F213" s="142">
        <v>39022</v>
      </c>
      <c r="G213" s="142">
        <v>39052</v>
      </c>
      <c r="H213" s="142">
        <v>39083</v>
      </c>
      <c r="I213" s="142">
        <v>39114</v>
      </c>
      <c r="J213" s="142">
        <v>39142</v>
      </c>
      <c r="K213" s="142">
        <v>39173</v>
      </c>
      <c r="L213" s="142">
        <v>39203</v>
      </c>
      <c r="M213" s="142">
        <v>39234</v>
      </c>
    </row>
    <row r="214" spans="1:13">
      <c r="A214" s="1" t="s">
        <v>360</v>
      </c>
      <c r="B214" s="108">
        <f>+MCFS!D148</f>
        <v>-28242.700000000012</v>
      </c>
      <c r="C214" s="108">
        <f>+MCFS!E148</f>
        <v>-17538.399999999965</v>
      </c>
      <c r="D214" s="108">
        <f>+MCFS!F148</f>
        <v>-14945.199999999953</v>
      </c>
      <c r="E214" s="108">
        <f>+MCFS!G148</f>
        <v>-126283.79999999981</v>
      </c>
      <c r="F214" s="108">
        <f>+MCFS!H148</f>
        <v>-210706.29999999993</v>
      </c>
    </row>
    <row r="215" spans="1:13">
      <c r="A215" s="1" t="s">
        <v>361</v>
      </c>
      <c r="B215" s="108">
        <f>+MCFS!D152</f>
        <v>-28242.700000000012</v>
      </c>
      <c r="C215" s="108">
        <f>+MCFS!E152</f>
        <v>-17538.399999999965</v>
      </c>
      <c r="D215" s="108">
        <f>+MCFS!F152</f>
        <v>-14945.199999999953</v>
      </c>
      <c r="E215" s="108">
        <f>+MCFS!G152</f>
        <v>-159890.98666666658</v>
      </c>
      <c r="F215" s="108">
        <f>+MCFS!H152</f>
        <v>-163799.32216666685</v>
      </c>
    </row>
  </sheetData>
  <phoneticPr fontId="0" type="noConversion"/>
  <pageMargins left="0.75" right="0.75" top="1" bottom="1" header="0.5" footer="0.5"/>
  <pageSetup scale="10" orientation="landscape" horizontalDpi="1200" verticalDpi="12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7"/>
  <dimension ref="A1:N32"/>
  <sheetViews>
    <sheetView zoomScale="50" workbookViewId="0">
      <selection activeCell="N3" sqref="N3"/>
    </sheetView>
  </sheetViews>
  <sheetFormatPr defaultRowHeight="20.25"/>
  <cols>
    <col min="1" max="1" width="61.6640625" style="1" bestFit="1" customWidth="1"/>
    <col min="2" max="2" width="13.44140625" style="1" bestFit="1" customWidth="1"/>
    <col min="3" max="13" width="11.44140625" style="1" bestFit="1" customWidth="1"/>
    <col min="14" max="14" width="17.44140625" style="1" bestFit="1" customWidth="1"/>
    <col min="15" max="16384" width="8.88671875" style="1"/>
  </cols>
  <sheetData>
    <row r="1" spans="1:14">
      <c r="A1" s="33" t="s">
        <v>120</v>
      </c>
      <c r="B1" s="31">
        <v>1000000</v>
      </c>
    </row>
    <row r="3" spans="1:14">
      <c r="A3" s="33" t="s">
        <v>326</v>
      </c>
      <c r="B3" s="142">
        <v>40725</v>
      </c>
      <c r="C3" s="142">
        <v>40756</v>
      </c>
      <c r="D3" s="142">
        <v>40787</v>
      </c>
      <c r="E3" s="142">
        <v>40817</v>
      </c>
      <c r="F3" s="142">
        <v>40848</v>
      </c>
      <c r="G3" s="142">
        <v>40878</v>
      </c>
      <c r="H3" s="142">
        <v>40909</v>
      </c>
      <c r="I3" s="142">
        <v>40940</v>
      </c>
      <c r="J3" s="142">
        <v>40969</v>
      </c>
      <c r="K3" s="142">
        <v>41000</v>
      </c>
      <c r="L3" s="142">
        <v>41030</v>
      </c>
      <c r="M3" s="142">
        <v>41061</v>
      </c>
      <c r="N3" s="12" t="s">
        <v>857</v>
      </c>
    </row>
    <row r="4" spans="1:14">
      <c r="A4" s="1" t="s">
        <v>321</v>
      </c>
      <c r="B4" s="166">
        <f>+'YR REPORTS'!D71/'NONPGC GRAPHS'!$B$1</f>
        <v>0.14772142999999999</v>
      </c>
      <c r="C4" s="166">
        <f>+'YR REPORTS'!E71/'NONPGC GRAPHS'!$B$1</f>
        <v>0.15785141999999999</v>
      </c>
      <c r="D4" s="166">
        <f>+'YR REPORTS'!F71/'NONPGC GRAPHS'!$B$1</f>
        <v>0.16130647000000001</v>
      </c>
      <c r="E4" s="166">
        <f>+'YR REPORTS'!G71/'NONPGC GRAPHS'!$B$1</f>
        <v>0.16513951999999998</v>
      </c>
      <c r="F4" s="166">
        <f>+'YR REPORTS'!H71/'NONPGC GRAPHS'!$B$1</f>
        <v>0.15459384999999998</v>
      </c>
      <c r="G4" s="166">
        <f>+'YR REPORTS'!I71/'NONPGC GRAPHS'!$B$1</f>
        <v>0.15266501999999998</v>
      </c>
      <c r="H4" s="166">
        <f>+'YR REPORTS'!J71/'NONPGC GRAPHS'!$B$1</f>
        <v>0.14924616999999998</v>
      </c>
      <c r="I4" s="166">
        <f>+'YR REPORTS'!K71/'NONPGC GRAPHS'!$B$1</f>
        <v>0.13789524</v>
      </c>
      <c r="J4" s="166">
        <f>+'YR REPORTS'!L71/'NONPGC GRAPHS'!$B$1</f>
        <v>0.13472933000000001</v>
      </c>
      <c r="K4" s="166">
        <f>+'YR REPORTS'!M71/'NONPGC GRAPHS'!$B$1</f>
        <v>0.13382238000000002</v>
      </c>
      <c r="L4" s="166">
        <f>+'YR REPORTS'!N71/'NONPGC GRAPHS'!$B$1</f>
        <v>0.13322627000000001</v>
      </c>
      <c r="M4" s="166">
        <f>+'YR REPORTS'!O71/'NONPGC GRAPHS'!$B$1</f>
        <v>0.15</v>
      </c>
      <c r="N4" s="166">
        <f>+'YR REPORTS'!P71/'NONPGC GRAPHS'!$B$1</f>
        <v>1.7781971000000001</v>
      </c>
    </row>
    <row r="5" spans="1:14">
      <c r="A5" s="1" t="s">
        <v>322</v>
      </c>
      <c r="B5" s="166">
        <f>+'YR REPORTS'!D70/'NONPGC GRAPHS'!$B$1</f>
        <v>1.0576081424188484</v>
      </c>
      <c r="C5" s="166">
        <f>+'YR REPORTS'!E70/'NONPGC GRAPHS'!$B$1</f>
        <v>1.1636796859232112</v>
      </c>
      <c r="D5" s="166">
        <f>+'YR REPORTS'!F70/'NONPGC GRAPHS'!$B$1</f>
        <v>1.1300437616893544</v>
      </c>
      <c r="E5" s="166">
        <f>+'YR REPORTS'!G70/'NONPGC GRAPHS'!$B$1</f>
        <v>1.1952837676055847</v>
      </c>
      <c r="F5" s="166">
        <f>+'YR REPORTS'!H70/'NONPGC GRAPHS'!$B$1</f>
        <v>1.3787652940453754</v>
      </c>
      <c r="G5" s="166">
        <f>+'YR REPORTS'!I70/'NONPGC GRAPHS'!$B$1</f>
        <v>1.4524627232670158</v>
      </c>
      <c r="H5" s="166">
        <f>+'YR REPORTS'!J70/'NONPGC GRAPHS'!$B$1</f>
        <v>1.420697444746946</v>
      </c>
      <c r="I5" s="166">
        <f>+'YR REPORTS'!K70/'NONPGC GRAPHS'!$B$1</f>
        <v>1.2256736480558463</v>
      </c>
      <c r="J5" s="166">
        <f>+'YR REPORTS'!L70/'NONPGC GRAPHS'!$B$1</f>
        <v>0.99748018848167541</v>
      </c>
      <c r="K5" s="166">
        <f>+'YR REPORTS'!M70/'NONPGC GRAPHS'!$B$1</f>
        <v>0.67491456376963332</v>
      </c>
      <c r="L5" s="166">
        <f>+'YR REPORTS'!N70/'NONPGC GRAPHS'!$B$1</f>
        <v>0.57673661570680634</v>
      </c>
      <c r="M5" s="166">
        <f>+'YR REPORTS'!O70/'NONPGC GRAPHS'!$B$1</f>
        <v>0.63468564425828955</v>
      </c>
      <c r="N5" s="166">
        <f>+'YR REPORTS'!P70/'NONPGC GRAPHS'!$B$1</f>
        <v>12.908031479968589</v>
      </c>
    </row>
    <row r="6" spans="1:14"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166"/>
    </row>
    <row r="7" spans="1:14"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</row>
    <row r="8" spans="1:14">
      <c r="B8" s="166"/>
      <c r="C8" s="166"/>
      <c r="D8" s="166"/>
      <c r="E8" s="166"/>
      <c r="F8" s="166"/>
      <c r="G8" s="166"/>
      <c r="H8" s="166"/>
      <c r="I8" s="166"/>
      <c r="J8" s="166"/>
      <c r="K8" s="166"/>
      <c r="L8" s="166"/>
      <c r="M8" s="166"/>
      <c r="N8" s="166"/>
    </row>
    <row r="9" spans="1:14"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6"/>
      <c r="N9" s="166"/>
    </row>
    <row r="10" spans="1:14">
      <c r="B10" s="166"/>
      <c r="C10" s="166"/>
      <c r="D10" s="166"/>
      <c r="E10" s="166"/>
      <c r="F10" s="166"/>
      <c r="G10" s="166"/>
      <c r="H10" s="166"/>
      <c r="I10" s="166"/>
      <c r="J10" s="166"/>
      <c r="K10" s="166"/>
      <c r="L10" s="166"/>
      <c r="M10" s="166"/>
      <c r="N10" s="166"/>
    </row>
    <row r="11" spans="1:14">
      <c r="B11" s="166"/>
      <c r="C11" s="166"/>
      <c r="D11" s="166"/>
      <c r="E11" s="166"/>
      <c r="F11" s="166"/>
      <c r="G11" s="166"/>
      <c r="H11" s="166"/>
      <c r="I11" s="166"/>
      <c r="J11" s="166"/>
      <c r="K11" s="166"/>
      <c r="L11" s="166"/>
      <c r="M11" s="166"/>
      <c r="N11" s="166"/>
    </row>
    <row r="12" spans="1:14">
      <c r="B12" s="166"/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6"/>
      <c r="N12" s="166"/>
    </row>
    <row r="13" spans="1:14">
      <c r="B13" s="166"/>
      <c r="C13" s="166"/>
      <c r="D13" s="166"/>
      <c r="E13" s="166"/>
      <c r="F13" s="166"/>
      <c r="G13" s="166"/>
      <c r="H13" s="166"/>
      <c r="I13" s="166"/>
      <c r="J13" s="166"/>
      <c r="K13" s="166"/>
      <c r="L13" s="166"/>
      <c r="M13" s="166"/>
      <c r="N13" s="166"/>
    </row>
    <row r="14" spans="1:14">
      <c r="B14" s="166"/>
      <c r="C14" s="166"/>
      <c r="D14" s="166"/>
      <c r="E14" s="166"/>
      <c r="F14" s="166"/>
      <c r="G14" s="166"/>
      <c r="H14" s="166"/>
      <c r="I14" s="166"/>
      <c r="J14" s="166"/>
      <c r="K14" s="166"/>
      <c r="L14" s="166"/>
      <c r="M14" s="166"/>
      <c r="N14" s="166"/>
    </row>
    <row r="15" spans="1:14">
      <c r="B15" s="166"/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6"/>
      <c r="N15" s="166"/>
    </row>
    <row r="16" spans="1:14">
      <c r="B16" s="166"/>
      <c r="C16" s="166"/>
      <c r="D16" s="166"/>
      <c r="E16" s="166"/>
      <c r="F16" s="166"/>
      <c r="G16" s="166"/>
      <c r="H16" s="166"/>
      <c r="I16" s="166"/>
      <c r="J16" s="166"/>
      <c r="K16" s="166"/>
      <c r="L16" s="166"/>
      <c r="M16" s="166"/>
      <c r="N16" s="166"/>
    </row>
    <row r="17" spans="1:14"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</row>
    <row r="18" spans="1:14">
      <c r="B18" s="166"/>
      <c r="C18" s="166"/>
      <c r="D18" s="166"/>
      <c r="E18" s="166"/>
      <c r="F18" s="166"/>
      <c r="G18" s="166"/>
      <c r="H18" s="166"/>
      <c r="I18" s="166"/>
      <c r="J18" s="166"/>
      <c r="K18" s="166"/>
      <c r="L18" s="166"/>
      <c r="M18" s="166"/>
      <c r="N18" s="166"/>
    </row>
    <row r="19" spans="1:14">
      <c r="B19" s="166"/>
      <c r="C19" s="166"/>
      <c r="D19" s="166"/>
      <c r="E19" s="166"/>
      <c r="F19" s="166"/>
      <c r="G19" s="166"/>
      <c r="H19" s="166"/>
      <c r="I19" s="166"/>
      <c r="J19" s="166"/>
      <c r="K19" s="166"/>
      <c r="L19" s="166"/>
      <c r="M19" s="166"/>
      <c r="N19" s="166"/>
    </row>
    <row r="20" spans="1:14">
      <c r="B20" s="166"/>
      <c r="C20" s="166"/>
      <c r="D20" s="166"/>
      <c r="E20" s="166"/>
      <c r="F20" s="166"/>
      <c r="G20" s="166"/>
      <c r="H20" s="166"/>
      <c r="I20" s="166"/>
      <c r="J20" s="166"/>
      <c r="K20" s="166"/>
      <c r="L20" s="166"/>
      <c r="M20" s="166"/>
      <c r="N20" s="166"/>
    </row>
    <row r="21" spans="1:14">
      <c r="B21" s="166"/>
      <c r="C21" s="166"/>
      <c r="D21" s="166"/>
      <c r="E21" s="166"/>
      <c r="F21" s="166"/>
      <c r="G21" s="166"/>
      <c r="H21" s="166"/>
      <c r="I21" s="166"/>
      <c r="J21" s="166"/>
      <c r="K21" s="166"/>
      <c r="L21" s="166"/>
      <c r="M21" s="166"/>
      <c r="N21" s="166"/>
    </row>
    <row r="22" spans="1:14">
      <c r="B22" s="166"/>
      <c r="C22" s="166"/>
      <c r="D22" s="166"/>
      <c r="E22" s="166"/>
      <c r="F22" s="166"/>
      <c r="G22" s="166"/>
      <c r="H22" s="166"/>
      <c r="I22" s="166"/>
      <c r="J22" s="166"/>
      <c r="K22" s="166"/>
      <c r="L22" s="166"/>
      <c r="M22" s="166"/>
      <c r="N22" s="166"/>
    </row>
    <row r="23" spans="1:14">
      <c r="B23" s="166"/>
      <c r="C23" s="166"/>
      <c r="D23" s="166"/>
      <c r="E23" s="166"/>
      <c r="F23" s="166"/>
      <c r="G23" s="166"/>
      <c r="H23" s="166"/>
      <c r="I23" s="166"/>
      <c r="J23" s="166"/>
      <c r="K23" s="166"/>
      <c r="L23" s="166"/>
      <c r="M23" s="166"/>
      <c r="N23" s="166"/>
    </row>
    <row r="24" spans="1:14">
      <c r="B24" s="166"/>
      <c r="C24" s="166"/>
      <c r="D24" s="166"/>
      <c r="E24" s="166"/>
      <c r="F24" s="166"/>
      <c r="G24" s="166"/>
      <c r="H24" s="166"/>
      <c r="I24" s="166"/>
      <c r="J24" s="166"/>
      <c r="K24" s="166"/>
      <c r="L24" s="166"/>
      <c r="M24" s="166"/>
      <c r="N24" s="166"/>
    </row>
    <row r="25" spans="1:14">
      <c r="B25" s="166"/>
      <c r="C25" s="166"/>
      <c r="D25" s="166"/>
      <c r="E25" s="166"/>
      <c r="F25" s="166"/>
      <c r="G25" s="166"/>
      <c r="H25" s="166"/>
      <c r="I25" s="166"/>
      <c r="J25" s="166"/>
      <c r="K25" s="166"/>
      <c r="L25" s="166"/>
      <c r="M25" s="166"/>
      <c r="N25" s="166"/>
    </row>
    <row r="26" spans="1:14">
      <c r="B26" s="166"/>
      <c r="C26" s="166"/>
      <c r="D26" s="166"/>
      <c r="E26" s="166"/>
      <c r="F26" s="166"/>
      <c r="G26" s="166"/>
      <c r="H26" s="166"/>
      <c r="I26" s="166"/>
      <c r="J26" s="166"/>
      <c r="K26" s="166"/>
      <c r="L26" s="166"/>
      <c r="M26" s="166"/>
      <c r="N26" s="166"/>
    </row>
    <row r="28" spans="1:14">
      <c r="A28" s="33"/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2"/>
    </row>
    <row r="29" spans="1:14"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</row>
    <row r="30" spans="1:14">
      <c r="A30" s="33" t="s">
        <v>607</v>
      </c>
    </row>
    <row r="31" spans="1:14">
      <c r="A31" s="1" t="s">
        <v>606</v>
      </c>
      <c r="B31" s="32">
        <f>+'YR REPORTS'!D71</f>
        <v>147721.43</v>
      </c>
      <c r="C31" s="32">
        <f>+'YR REPORTS'!E71</f>
        <v>157851.41999999998</v>
      </c>
      <c r="D31" s="32">
        <f>+'YR REPORTS'!F71</f>
        <v>161306.47</v>
      </c>
      <c r="E31" s="32">
        <f>+'YR REPORTS'!G71</f>
        <v>165139.51999999999</v>
      </c>
      <c r="F31" s="32">
        <f>+'YR REPORTS'!H71</f>
        <v>154593.84999999998</v>
      </c>
      <c r="G31" s="32">
        <f>+'YR REPORTS'!I71</f>
        <v>152665.01999999999</v>
      </c>
      <c r="H31" s="32">
        <f>+'YR REPORTS'!J71</f>
        <v>149246.16999999998</v>
      </c>
      <c r="I31" s="32">
        <f>+'YR REPORTS'!K71</f>
        <v>137895.24</v>
      </c>
      <c r="J31" s="32">
        <f>+'YR REPORTS'!L71</f>
        <v>134729.33000000002</v>
      </c>
      <c r="K31" s="32">
        <f>+'YR REPORTS'!M71</f>
        <v>133822.38</v>
      </c>
      <c r="L31" s="32">
        <f>+'YR REPORTS'!N71</f>
        <v>133226.27000000002</v>
      </c>
      <c r="M31" s="32">
        <f>+'YR REPORTS'!O71</f>
        <v>150000</v>
      </c>
    </row>
    <row r="32" spans="1:14">
      <c r="A32" s="1" t="s">
        <v>608</v>
      </c>
      <c r="B32" s="16">
        <f>B31/MCFS!D99</f>
        <v>0.73171548767929251</v>
      </c>
      <c r="C32" s="16">
        <f>C31/MCFS!E99</f>
        <v>0.66657441264068773</v>
      </c>
      <c r="D32" s="16">
        <f>D31/MCFS!F99</f>
        <v>0.63755860027311551</v>
      </c>
      <c r="E32" s="16">
        <f>E31/MCFS!G99</f>
        <v>0.61950055670431048</v>
      </c>
      <c r="F32" s="16">
        <f>F31/MCFS!H99</f>
        <v>0.49316558868800286</v>
      </c>
      <c r="G32" s="16">
        <f>G31/MCFS!I99</f>
        <v>0.45195660340883553</v>
      </c>
      <c r="H32" s="16">
        <f>H31/MCFS!J99</f>
        <v>0.42717042490881069</v>
      </c>
      <c r="I32" s="16">
        <f>I31/MCFS!K99</f>
        <v>0.41562402419925565</v>
      </c>
      <c r="J32" s="16">
        <f>J31/MCFS!L60</f>
        <v>0.44909776666666673</v>
      </c>
      <c r="K32" s="16">
        <f>K31/MCFS!M60</f>
        <v>0.46145648275862072</v>
      </c>
      <c r="L32" s="16">
        <f>L31/MCFS!N60</f>
        <v>0.57924465217391308</v>
      </c>
      <c r="M32" s="16">
        <f>M31/MCFS!O60</f>
        <v>0.625</v>
      </c>
    </row>
  </sheetData>
  <phoneticPr fontId="10" type="noConversion"/>
  <pageMargins left="0.75" right="0.75" top="1" bottom="1" header="0.5" footer="0.5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8"/>
  <dimension ref="A1:N99"/>
  <sheetViews>
    <sheetView zoomScale="50" workbookViewId="0">
      <selection activeCell="B45" sqref="B45"/>
    </sheetView>
  </sheetViews>
  <sheetFormatPr defaultRowHeight="20.25"/>
  <cols>
    <col min="1" max="1" width="92.33203125" style="1" bestFit="1" customWidth="1"/>
    <col min="2" max="2" width="13.44140625" style="1" bestFit="1" customWidth="1"/>
    <col min="3" max="5" width="10.109375" style="1" bestFit="1" customWidth="1"/>
    <col min="6" max="10" width="12.109375" style="1" bestFit="1" customWidth="1"/>
    <col min="11" max="13" width="10.109375" style="1" bestFit="1" customWidth="1"/>
    <col min="14" max="14" width="14.33203125" style="1" bestFit="1" customWidth="1"/>
    <col min="15" max="16384" width="8.88671875" style="1"/>
  </cols>
  <sheetData>
    <row r="1" spans="1:14">
      <c r="A1" s="1" t="s">
        <v>120</v>
      </c>
      <c r="B1" s="31">
        <v>1000000</v>
      </c>
    </row>
    <row r="3" spans="1:14">
      <c r="A3" s="33" t="s">
        <v>335</v>
      </c>
      <c r="B3" s="142">
        <v>40725</v>
      </c>
      <c r="C3" s="142">
        <v>40756</v>
      </c>
      <c r="D3" s="142">
        <v>40787</v>
      </c>
      <c r="E3" s="142">
        <v>40817</v>
      </c>
      <c r="F3" s="142">
        <v>40848</v>
      </c>
      <c r="G3" s="142">
        <v>40878</v>
      </c>
      <c r="H3" s="142">
        <v>40909</v>
      </c>
      <c r="I3" s="142">
        <v>40940</v>
      </c>
      <c r="J3" s="142">
        <v>40969</v>
      </c>
      <c r="K3" s="142">
        <v>41000</v>
      </c>
      <c r="L3" s="142">
        <v>41030</v>
      </c>
      <c r="M3" s="142">
        <v>41061</v>
      </c>
      <c r="N3" s="142" t="s">
        <v>913</v>
      </c>
    </row>
    <row r="4" spans="1:14">
      <c r="A4" s="1" t="s">
        <v>327</v>
      </c>
      <c r="B4" s="166">
        <f>'YR REPORTS'!D35/'TOTAL GRAPHS'!$B$1</f>
        <v>0.91191902033876948</v>
      </c>
      <c r="C4" s="166">
        <f>'YR REPORTS'!E35/'TOTAL GRAPHS'!$B$1</f>
        <v>1.1006001551010423</v>
      </c>
      <c r="D4" s="166">
        <f>'YR REPORTS'!F35/'TOTAL GRAPHS'!$B$1</f>
        <v>1.0767307394908263</v>
      </c>
      <c r="E4" s="166">
        <f>'YR REPORTS'!G35/'TOTAL GRAPHS'!$B$1</f>
        <v>2.4436633219065098</v>
      </c>
      <c r="F4" s="166">
        <f>'YR REPORTS'!H35/'TOTAL GRAPHS'!$B$1</f>
        <v>3.7345984671436239</v>
      </c>
      <c r="G4" s="166">
        <f>'YR REPORTS'!I35/'TOTAL GRAPHS'!$B$1</f>
        <v>6.2068998073999762</v>
      </c>
      <c r="H4" s="166">
        <f>'YR REPORTS'!J35/'TOTAL GRAPHS'!$B$1</f>
        <v>7.764596490696297</v>
      </c>
      <c r="I4" s="166">
        <f>'YR REPORTS'!K35/'TOTAL GRAPHS'!$B$1</f>
        <v>6.0835214279165415</v>
      </c>
      <c r="J4" s="166">
        <f>'YR REPORTS'!L35/'TOTAL GRAPHS'!$B$1</f>
        <v>3.100101697750711</v>
      </c>
      <c r="K4" s="166">
        <f>'YR REPORTS'!M35/'TOTAL GRAPHS'!$B$1</f>
        <v>2.0196379034270202</v>
      </c>
      <c r="L4" s="166">
        <f>'YR REPORTS'!N35/'TOTAL GRAPHS'!$B$1</f>
        <v>0.64979747189604797</v>
      </c>
      <c r="M4" s="166">
        <f>'YR REPORTS'!O35/'TOTAL GRAPHS'!$B$1</f>
        <v>0.63877823857390836</v>
      </c>
      <c r="N4" s="166">
        <f>'YR REPORTS'!P35/'TOTAL GRAPHS'!$B$1</f>
        <v>35.73084474164127</v>
      </c>
    </row>
    <row r="5" spans="1:14">
      <c r="A5" s="1" t="s">
        <v>328</v>
      </c>
      <c r="B5" s="166">
        <f>+'YR REPORTS'!D37/$B$1</f>
        <v>1.3877138952719998</v>
      </c>
      <c r="C5" s="166">
        <f>+'YR REPORTS'!E37/$B$1</f>
        <v>1.3572810880819999</v>
      </c>
      <c r="D5" s="166">
        <f>+'YR REPORTS'!F37/$B$1</f>
        <v>1.3490703956880001</v>
      </c>
      <c r="E5" s="166">
        <f>+'YR REPORTS'!G37/$B$1</f>
        <v>1.5006145094880001</v>
      </c>
      <c r="F5" s="166">
        <f>+'YR REPORTS'!H37/$B$1</f>
        <v>1.4796795888109999</v>
      </c>
      <c r="G5" s="166">
        <f>+'YR REPORTS'!I37/$B$1</f>
        <v>1.4969599226200001</v>
      </c>
      <c r="H5" s="166">
        <f>+'YR REPORTS'!J37/$B$1</f>
        <v>1.5140081024890002</v>
      </c>
      <c r="I5" s="166">
        <f>+'YR REPORTS'!K37/$B$1</f>
        <v>1.5343128908999999</v>
      </c>
      <c r="J5" s="166">
        <f>+'YR REPORTS'!L37/$B$1</f>
        <v>1.5485538478999998</v>
      </c>
      <c r="K5" s="166">
        <f>+'YR REPORTS'!M37/$B$1</f>
        <v>1.3631416113999999</v>
      </c>
      <c r="L5" s="166">
        <f>+'YR REPORTS'!N37/$B$1</f>
        <v>1.3576746513999998</v>
      </c>
      <c r="M5" s="166">
        <f>+'YR REPORTS'!O37/$B$1</f>
        <v>1.3175423813999998</v>
      </c>
      <c r="N5" s="166">
        <f>+'YR REPORTS'!P37/$B$1</f>
        <v>17.206552885449998</v>
      </c>
    </row>
    <row r="6" spans="1:14">
      <c r="A6" s="1" t="s">
        <v>329</v>
      </c>
      <c r="B6" s="166">
        <f>+'YR REPORTS'!D70/'TOTAL GRAPHS'!$B$1</f>
        <v>1.0576081424188484</v>
      </c>
      <c r="C6" s="166">
        <f>+'YR REPORTS'!E70/'TOTAL GRAPHS'!$B$1</f>
        <v>1.1636796859232112</v>
      </c>
      <c r="D6" s="166">
        <f>+'YR REPORTS'!F70/'TOTAL GRAPHS'!$B$1</f>
        <v>1.1300437616893544</v>
      </c>
      <c r="E6" s="166">
        <f>+'YR REPORTS'!G70/'TOTAL GRAPHS'!$B$1</f>
        <v>1.1952837676055847</v>
      </c>
      <c r="F6" s="166">
        <f>+'YR REPORTS'!H70/'TOTAL GRAPHS'!$B$1</f>
        <v>1.3787652940453754</v>
      </c>
      <c r="G6" s="166">
        <f>+'YR REPORTS'!I70/'TOTAL GRAPHS'!$B$1</f>
        <v>1.4524627232670158</v>
      </c>
      <c r="H6" s="166">
        <f>+'YR REPORTS'!J70/'TOTAL GRAPHS'!$B$1</f>
        <v>1.420697444746946</v>
      </c>
      <c r="I6" s="166">
        <f>+'YR REPORTS'!K70/'TOTAL GRAPHS'!$B$1</f>
        <v>1.2256736480558463</v>
      </c>
      <c r="J6" s="166">
        <f>+'YR REPORTS'!L70/'TOTAL GRAPHS'!$B$1</f>
        <v>0.99748018848167541</v>
      </c>
      <c r="K6" s="166">
        <f>+'YR REPORTS'!M70/'TOTAL GRAPHS'!$B$1</f>
        <v>0.67491456376963332</v>
      </c>
      <c r="L6" s="166">
        <f>+'YR REPORTS'!N70/'TOTAL GRAPHS'!$B$1</f>
        <v>0.57673661570680634</v>
      </c>
      <c r="M6" s="166">
        <f>+'YR REPORTS'!O70/'TOTAL GRAPHS'!$B$1</f>
        <v>0.63468564425828955</v>
      </c>
      <c r="N6" s="166">
        <f>+'YR REPORTS'!P70/'TOTAL GRAPHS'!$B$1</f>
        <v>12.908031479968589</v>
      </c>
    </row>
    <row r="7" spans="1:14">
      <c r="A7" s="1" t="s">
        <v>330</v>
      </c>
      <c r="B7" s="166">
        <f>+'YR REPORTS'!D71/$B$1</f>
        <v>0.14772142999999999</v>
      </c>
      <c r="C7" s="166">
        <f>+'YR REPORTS'!E71/$B$1</f>
        <v>0.15785141999999999</v>
      </c>
      <c r="D7" s="166">
        <f>+'YR REPORTS'!F71/$B$1</f>
        <v>0.16130647000000001</v>
      </c>
      <c r="E7" s="166">
        <f>+'YR REPORTS'!G71/$B$1</f>
        <v>0.16513951999999998</v>
      </c>
      <c r="F7" s="166">
        <f>+'YR REPORTS'!H71/$B$1</f>
        <v>0.15459384999999998</v>
      </c>
      <c r="G7" s="166">
        <f>+'YR REPORTS'!I71/$B$1</f>
        <v>0.15266501999999998</v>
      </c>
      <c r="H7" s="166">
        <f>+'YR REPORTS'!J71/$B$1</f>
        <v>0.14924616999999998</v>
      </c>
      <c r="I7" s="166">
        <f>+'YR REPORTS'!K71/$B$1</f>
        <v>0.13789524</v>
      </c>
      <c r="J7" s="166">
        <f>+'YR REPORTS'!L71/$B$1</f>
        <v>0.13472933000000001</v>
      </c>
      <c r="K7" s="166">
        <f>+'YR REPORTS'!M71/$B$1</f>
        <v>0.13382238000000002</v>
      </c>
      <c r="L7" s="166">
        <f>+'YR REPORTS'!N71/$B$1</f>
        <v>0.13322627000000001</v>
      </c>
      <c r="M7" s="166">
        <f>+'YR REPORTS'!O71/$B$1</f>
        <v>0.15</v>
      </c>
      <c r="N7" s="166">
        <f>+'YR REPORTS'!P71/$B$1</f>
        <v>1.7781971000000001</v>
      </c>
    </row>
    <row r="35" spans="1:14">
      <c r="A35" s="33" t="s">
        <v>336</v>
      </c>
      <c r="B35" s="142">
        <v>40725</v>
      </c>
      <c r="C35" s="142">
        <v>40756</v>
      </c>
      <c r="D35" s="142">
        <v>40787</v>
      </c>
      <c r="E35" s="142">
        <v>40817</v>
      </c>
      <c r="F35" s="142">
        <v>40848</v>
      </c>
      <c r="G35" s="142">
        <v>40878</v>
      </c>
      <c r="H35" s="142">
        <v>40909</v>
      </c>
      <c r="I35" s="142">
        <v>40940</v>
      </c>
      <c r="J35" s="142">
        <v>40969</v>
      </c>
      <c r="K35" s="142">
        <v>41000</v>
      </c>
      <c r="L35" s="142">
        <v>41030</v>
      </c>
      <c r="M35" s="142">
        <v>41061</v>
      </c>
      <c r="N35" s="142" t="s">
        <v>913</v>
      </c>
    </row>
    <row r="36" spans="1:14">
      <c r="A36" s="1" t="s">
        <v>331</v>
      </c>
      <c r="B36" s="166">
        <f>'YR REPORTS'!D21/$B$1</f>
        <v>1.9695271627576179</v>
      </c>
      <c r="C36" s="166">
        <f>'YR REPORTS'!E21/$B$1</f>
        <v>2.2642798410242535</v>
      </c>
      <c r="D36" s="166">
        <f>'YR REPORTS'!F21/$B$1</f>
        <v>2.2067745011801807</v>
      </c>
      <c r="E36" s="166">
        <f>'YR REPORTS'!G21/$B$1</f>
        <v>3.6389470895120946</v>
      </c>
      <c r="F36" s="166">
        <f>'YR REPORTS'!H21/$B$1</f>
        <v>5.1133637611889995</v>
      </c>
      <c r="G36" s="166">
        <f>'YR REPORTS'!I21/$B$1</f>
        <v>7.6593625306669919</v>
      </c>
      <c r="H36" s="166">
        <f>'YR REPORTS'!J21/$B$1</f>
        <v>9.1852939354432426</v>
      </c>
      <c r="I36" s="166">
        <f>'YR REPORTS'!K21/$B$1</f>
        <v>7.3091950759723874</v>
      </c>
      <c r="J36" s="166">
        <f>'YR REPORTS'!L21/$B$1</f>
        <v>4.0975818862323861</v>
      </c>
      <c r="K36" s="166">
        <f>'YR REPORTS'!M21/$B$1</f>
        <v>2.6945524671966536</v>
      </c>
      <c r="L36" s="166">
        <f>'YR REPORTS'!N21/$B$1</f>
        <v>1.2265340876028543</v>
      </c>
      <c r="M36" s="166">
        <f>'YR REPORTS'!O21/$B$1</f>
        <v>1.273463882832198</v>
      </c>
      <c r="N36" s="166">
        <f>'YR REPORTS'!P21/$B$1</f>
        <v>48.638876221609856</v>
      </c>
    </row>
    <row r="37" spans="1:14">
      <c r="A37" s="1" t="s">
        <v>321</v>
      </c>
      <c r="B37" s="166">
        <f>+'YR REPORTS'!D22/'TOTAL GRAPHS'!$B$1</f>
        <v>1.6910921852719998</v>
      </c>
      <c r="C37" s="166">
        <f>+'YR REPORTS'!E22/'TOTAL GRAPHS'!$B$1</f>
        <v>1.6811641980819998</v>
      </c>
      <c r="D37" s="166">
        <f>+'YR REPORTS'!F22/'TOTAL GRAPHS'!$B$1</f>
        <v>1.686606505688</v>
      </c>
      <c r="E37" s="166">
        <f>+'YR REPORTS'!G22/'TOTAL GRAPHS'!$B$1</f>
        <v>1.8377052194880001</v>
      </c>
      <c r="F37" s="166">
        <f>+'YR REPORTS'!H22/'TOTAL GRAPHS'!$B$1</f>
        <v>1.8010148288110002</v>
      </c>
      <c r="G37" s="166">
        <f>+'YR REPORTS'!I22/'TOTAL GRAPHS'!$B$1</f>
        <v>1.8204964326200002</v>
      </c>
      <c r="H37" s="166">
        <f>+'YR REPORTS'!J22/'TOTAL GRAPHS'!$B$1</f>
        <v>1.8161236224890003</v>
      </c>
      <c r="I37" s="166">
        <f>+'YR REPORTS'!K22/'TOTAL GRAPHS'!$B$1</f>
        <v>1.8015436909</v>
      </c>
      <c r="J37" s="166">
        <f>+'YR REPORTS'!L22/'TOTAL GRAPHS'!$B$1</f>
        <v>1.8179182879000002</v>
      </c>
      <c r="K37" s="166">
        <f>+'YR REPORTS'!M22/'TOTAL GRAPHS'!$B$1</f>
        <v>1.6251106113999998</v>
      </c>
      <c r="L37" s="166">
        <f>+'YR REPORTS'!N22/'TOTAL GRAPHS'!$B$1</f>
        <v>1.6188969214</v>
      </c>
      <c r="M37" s="166">
        <f>+'YR REPORTS'!O22/'TOTAL GRAPHS'!$B$1</f>
        <v>1.6175423813999998</v>
      </c>
      <c r="N37" s="166">
        <f>+'YR REPORTS'!P22/'TOTAL GRAPHS'!$B$1</f>
        <v>20.815214885450001</v>
      </c>
    </row>
    <row r="66" spans="1:14">
      <c r="A66" s="33" t="s">
        <v>332</v>
      </c>
      <c r="B66" s="142">
        <v>40725</v>
      </c>
      <c r="C66" s="142">
        <v>40756</v>
      </c>
      <c r="D66" s="142">
        <v>40787</v>
      </c>
      <c r="E66" s="142">
        <v>40817</v>
      </c>
      <c r="F66" s="142">
        <v>40848</v>
      </c>
      <c r="G66" s="142">
        <v>40878</v>
      </c>
      <c r="H66" s="142">
        <v>40909</v>
      </c>
      <c r="I66" s="142">
        <v>40940</v>
      </c>
      <c r="J66" s="142">
        <v>40969</v>
      </c>
      <c r="K66" s="142">
        <v>41000</v>
      </c>
      <c r="L66" s="142">
        <v>41030</v>
      </c>
      <c r="M66" s="142">
        <v>41061</v>
      </c>
      <c r="N66" s="142" t="s">
        <v>913</v>
      </c>
    </row>
    <row r="67" spans="1:14">
      <c r="A67" s="1" t="s">
        <v>332</v>
      </c>
      <c r="B67" s="166">
        <f>+'YR REPORTS'!D25/'TOTAL GRAPHS'!$B$1</f>
        <v>3.6606193480296176</v>
      </c>
      <c r="C67" s="166">
        <f>+'YR REPORTS'!E25/'TOTAL GRAPHS'!$B$1</f>
        <v>3.9454440391062535</v>
      </c>
      <c r="D67" s="166">
        <f>+'YR REPORTS'!F25/'TOTAL GRAPHS'!$B$1</f>
        <v>3.8933810068681809</v>
      </c>
      <c r="E67" s="166">
        <f>+'YR REPORTS'!G25/'TOTAL GRAPHS'!$B$1</f>
        <v>5.4766523090000945</v>
      </c>
      <c r="F67" s="166">
        <f>+'YR REPORTS'!H25/'TOTAL GRAPHS'!$B$1</f>
        <v>6.9143785900000001</v>
      </c>
      <c r="G67" s="166">
        <f>+'YR REPORTS'!I25/'TOTAL GRAPHS'!$B$1</f>
        <v>9.4798589632869916</v>
      </c>
      <c r="H67" s="166">
        <f>+'YR REPORTS'!J25/'TOTAL GRAPHS'!$B$1</f>
        <v>11.001417557932243</v>
      </c>
      <c r="I67" s="166">
        <f>+'YR REPORTS'!K25/'TOTAL GRAPHS'!$B$1</f>
        <v>9.1107387668723874</v>
      </c>
      <c r="J67" s="166">
        <f>+'YR REPORTS'!L25/'TOTAL GRAPHS'!$B$1</f>
        <v>5.9155001741323865</v>
      </c>
      <c r="K67" s="166">
        <f>+'YR REPORTS'!M25/'TOTAL GRAPHS'!$B$1</f>
        <v>4.319663078596653</v>
      </c>
      <c r="L67" s="166">
        <f>+'YR REPORTS'!N25/'TOTAL GRAPHS'!$B$1</f>
        <v>2.8454310090028541</v>
      </c>
      <c r="M67" s="166">
        <f>+'YR REPORTS'!O25/'TOTAL GRAPHS'!$B$1</f>
        <v>2.8910062642321979</v>
      </c>
      <c r="N67" s="166">
        <f>+'YR REPORTS'!P25/'TOTAL GRAPHS'!$B$1</f>
        <v>69.454091107059867</v>
      </c>
    </row>
    <row r="97" spans="1:14">
      <c r="A97" s="33" t="s">
        <v>324</v>
      </c>
      <c r="B97" s="142">
        <v>40725</v>
      </c>
      <c r="C97" s="142">
        <v>40756</v>
      </c>
      <c r="D97" s="142">
        <v>40787</v>
      </c>
      <c r="E97" s="142">
        <v>40817</v>
      </c>
      <c r="F97" s="142">
        <v>40848</v>
      </c>
      <c r="G97" s="142">
        <v>40878</v>
      </c>
      <c r="H97" s="142">
        <v>40909</v>
      </c>
      <c r="I97" s="142">
        <v>40940</v>
      </c>
      <c r="J97" s="142">
        <v>40969</v>
      </c>
      <c r="K97" s="142">
        <v>41000</v>
      </c>
      <c r="L97" s="142">
        <v>41030</v>
      </c>
      <c r="M97" s="142">
        <v>41061</v>
      </c>
      <c r="N97" s="142" t="s">
        <v>913</v>
      </c>
    </row>
    <row r="98" spans="1:14">
      <c r="A98" s="1" t="s">
        <v>155</v>
      </c>
      <c r="B98" s="22">
        <f>+'YR REPORTS'!D12</f>
        <v>237396.3</v>
      </c>
      <c r="C98" s="31">
        <f>+'YR REPORTS'!E12</f>
        <v>276343.30000000005</v>
      </c>
      <c r="D98" s="31">
        <f>+'YR REPORTS'!F12</f>
        <v>310780.5</v>
      </c>
      <c r="E98" s="31">
        <f>+'YR REPORTS'!G12</f>
        <v>555374.60000000009</v>
      </c>
      <c r="F98" s="31">
        <f>+'YR REPORTS'!H12</f>
        <v>1041641.6</v>
      </c>
      <c r="G98" s="31">
        <f>+'YR REPORTS'!I12</f>
        <v>1538484.5000000002</v>
      </c>
      <c r="H98" s="31">
        <f>+'YR REPORTS'!J12</f>
        <v>1758792.9</v>
      </c>
      <c r="I98" s="31">
        <f>+'YR REPORTS'!K12</f>
        <v>1565339.9000000001</v>
      </c>
      <c r="J98" s="31">
        <f>+'YR REPORTS'!L12</f>
        <v>805485.6</v>
      </c>
      <c r="K98" s="31">
        <f>+'YR REPORTS'!M12</f>
        <v>565655.50000000012</v>
      </c>
      <c r="L98" s="31">
        <f>+'YR REPORTS'!N12</f>
        <v>372153.9</v>
      </c>
      <c r="M98" s="31">
        <f>+'YR REPORTS'!O12</f>
        <v>281724.09999999998</v>
      </c>
      <c r="N98" s="22">
        <f>+'YR REPORTS'!P12</f>
        <v>9309172.7000000011</v>
      </c>
    </row>
    <row r="99" spans="1:14">
      <c r="A99" s="1" t="s">
        <v>316</v>
      </c>
      <c r="B99" s="22">
        <f>+'YR REPORTS'!D13</f>
        <v>216811.1</v>
      </c>
      <c r="C99" s="22">
        <f>+'YR REPORTS'!E13</f>
        <v>240336.4</v>
      </c>
      <c r="D99" s="22">
        <f>+'YR REPORTS'!F13</f>
        <v>255779.8</v>
      </c>
      <c r="E99" s="22">
        <f>+'YR REPORTS'!G13</f>
        <v>275439.8</v>
      </c>
      <c r="F99" s="22">
        <f>+'YR REPORTS'!H13</f>
        <v>330773.90000000002</v>
      </c>
      <c r="G99" s="22">
        <f>+'YR REPORTS'!I13</f>
        <v>357854.10000000003</v>
      </c>
      <c r="H99" s="22">
        <f>+'YR REPORTS'!J13</f>
        <v>372037</v>
      </c>
      <c r="I99" s="22">
        <f>+'YR REPORTS'!K13</f>
        <v>352315.7</v>
      </c>
      <c r="J99" s="22">
        <f>+'YR REPORTS'!L13</f>
        <v>299981</v>
      </c>
      <c r="K99" s="22">
        <f>+'YR REPORTS'!M13</f>
        <v>269909.3</v>
      </c>
      <c r="L99" s="22">
        <f>+'YR REPORTS'!N13</f>
        <v>247803</v>
      </c>
      <c r="M99" s="22">
        <f>+'YR REPORTS'!O13</f>
        <v>229430.5</v>
      </c>
      <c r="N99" s="22">
        <f>+'YR REPORTS'!P13</f>
        <v>3448471.6</v>
      </c>
    </row>
  </sheetData>
  <phoneticPr fontId="10" type="noConversion"/>
  <pageMargins left="0.75" right="0.75" top="1" bottom="1" header="0.5" footer="0.5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0">
    <pageSetUpPr fitToPage="1"/>
  </sheetPr>
  <dimension ref="A1:BJ212"/>
  <sheetViews>
    <sheetView topLeftCell="D67" zoomScale="55" zoomScaleNormal="55" workbookViewId="0">
      <selection activeCell="Q73" sqref="Q73:Q99"/>
    </sheetView>
  </sheetViews>
  <sheetFormatPr defaultRowHeight="20.25"/>
  <cols>
    <col min="1" max="1" width="12.109375" style="10" bestFit="1" customWidth="1"/>
    <col min="2" max="2" width="31.6640625" style="10" bestFit="1" customWidth="1"/>
    <col min="3" max="3" width="45" style="10" bestFit="1" customWidth="1"/>
    <col min="4" max="4" width="15.21875" style="10" customWidth="1"/>
    <col min="5" max="5" width="16.5546875" style="10" customWidth="1"/>
    <col min="6" max="7" width="13.88671875" style="10" customWidth="1"/>
    <col min="8" max="8" width="17.21875" style="10" customWidth="1"/>
    <col min="9" max="9" width="13.88671875" style="255" customWidth="1"/>
    <col min="10" max="13" width="15.44140625" style="255" customWidth="1"/>
    <col min="14" max="15" width="15.44140625" style="10" customWidth="1"/>
    <col min="16" max="16" width="17" style="10" bestFit="1" customWidth="1"/>
    <col min="17" max="17" width="17.44140625" style="10" bestFit="1" customWidth="1"/>
    <col min="18" max="18" width="16.109375" style="10" bestFit="1" customWidth="1"/>
    <col min="19" max="19" width="45" style="10" bestFit="1" customWidth="1"/>
    <col min="20" max="20" width="11" style="10" bestFit="1" customWidth="1"/>
    <col min="21" max="25" width="12.109375" style="10" bestFit="1" customWidth="1"/>
    <col min="26" max="27" width="13.44140625" style="10" bestFit="1" customWidth="1"/>
    <col min="28" max="28" width="17.21875" style="10" bestFit="1" customWidth="1"/>
    <col min="29" max="31" width="13.44140625" style="10" bestFit="1" customWidth="1"/>
    <col min="32" max="32" width="16.33203125" style="10" bestFit="1" customWidth="1"/>
    <col min="33" max="33" width="11.21875" style="10" bestFit="1" customWidth="1"/>
    <col min="34" max="34" width="16.109375" style="10" bestFit="1" customWidth="1"/>
    <col min="35" max="35" width="45" style="10" bestFit="1" customWidth="1"/>
    <col min="36" max="36" width="11" style="10" bestFit="1" customWidth="1"/>
    <col min="37" max="41" width="12.109375" style="10" bestFit="1" customWidth="1"/>
    <col min="42" max="47" width="13.44140625" style="10" bestFit="1" customWidth="1"/>
    <col min="48" max="48" width="16.33203125" style="10" bestFit="1" customWidth="1"/>
    <col min="49" max="49" width="45" style="10" bestFit="1" customWidth="1"/>
    <col min="50" max="50" width="11" style="10" bestFit="1" customWidth="1"/>
    <col min="51" max="51" width="12.109375" style="10" bestFit="1" customWidth="1"/>
    <col min="52" max="52" width="15" style="10" bestFit="1" customWidth="1"/>
    <col min="53" max="54" width="17" style="10" bestFit="1" customWidth="1"/>
    <col min="55" max="61" width="18.33203125" style="10" bestFit="1" customWidth="1"/>
    <col min="62" max="62" width="16.33203125" style="10" bestFit="1" customWidth="1"/>
    <col min="63" max="16384" width="8.88671875" style="10"/>
  </cols>
  <sheetData>
    <row r="1" spans="1:62">
      <c r="B1" s="11"/>
      <c r="C1" s="11" t="s">
        <v>125</v>
      </c>
      <c r="D1" s="149">
        <v>40725</v>
      </c>
      <c r="E1" s="149">
        <v>40756</v>
      </c>
      <c r="F1" s="149">
        <v>40787</v>
      </c>
      <c r="G1" s="149">
        <v>40817</v>
      </c>
      <c r="H1" s="149">
        <v>40848</v>
      </c>
      <c r="I1" s="149">
        <v>40878</v>
      </c>
      <c r="J1" s="149">
        <v>40909</v>
      </c>
      <c r="K1" s="149">
        <v>40940</v>
      </c>
      <c r="L1" s="149">
        <v>40969</v>
      </c>
      <c r="M1" s="149">
        <v>41000</v>
      </c>
      <c r="N1" s="149">
        <v>41030</v>
      </c>
      <c r="O1" s="149">
        <v>41061</v>
      </c>
      <c r="P1" s="11" t="s">
        <v>857</v>
      </c>
      <c r="R1" s="11" t="s">
        <v>124</v>
      </c>
      <c r="S1" s="11" t="s">
        <v>125</v>
      </c>
      <c r="T1" s="149">
        <v>41091</v>
      </c>
      <c r="U1" s="149">
        <v>41122</v>
      </c>
      <c r="V1" s="149">
        <v>41153</v>
      </c>
      <c r="W1" s="149">
        <v>41183</v>
      </c>
      <c r="X1" s="149">
        <v>41214</v>
      </c>
      <c r="Y1" s="149">
        <v>41244</v>
      </c>
      <c r="Z1" s="149">
        <v>41275</v>
      </c>
      <c r="AA1" s="149">
        <v>41306</v>
      </c>
      <c r="AB1" s="149">
        <v>41334</v>
      </c>
      <c r="AC1" s="149">
        <v>41365</v>
      </c>
      <c r="AD1" s="149">
        <v>41395</v>
      </c>
      <c r="AE1" s="149">
        <v>41426</v>
      </c>
      <c r="AF1" s="11" t="s">
        <v>878</v>
      </c>
      <c r="AH1" s="11" t="s">
        <v>124</v>
      </c>
      <c r="AI1" s="11" t="s">
        <v>125</v>
      </c>
      <c r="AJ1" s="149">
        <v>41456</v>
      </c>
      <c r="AK1" s="149">
        <v>41487</v>
      </c>
      <c r="AL1" s="149">
        <v>41518</v>
      </c>
      <c r="AM1" s="149">
        <v>41548</v>
      </c>
      <c r="AN1" s="149">
        <v>41579</v>
      </c>
      <c r="AO1" s="149">
        <v>41609</v>
      </c>
      <c r="AP1" s="149">
        <v>41640</v>
      </c>
      <c r="AQ1" s="149">
        <v>41671</v>
      </c>
      <c r="AR1" s="149">
        <v>41699</v>
      </c>
      <c r="AS1" s="149">
        <v>41730</v>
      </c>
      <c r="AT1" s="149">
        <v>41760</v>
      </c>
      <c r="AU1" s="149">
        <v>41791</v>
      </c>
      <c r="AV1" s="11" t="s">
        <v>906</v>
      </c>
      <c r="AW1" s="11"/>
      <c r="AX1" s="149"/>
      <c r="AY1" s="149"/>
      <c r="AZ1" s="149"/>
      <c r="BA1" s="149"/>
      <c r="BB1" s="149"/>
      <c r="BC1" s="149"/>
      <c r="BD1" s="149"/>
      <c r="BE1" s="149"/>
      <c r="BF1" s="149"/>
      <c r="BG1" s="149"/>
      <c r="BH1" s="149"/>
      <c r="BI1" s="149"/>
      <c r="BJ1" s="11"/>
    </row>
    <row r="2" spans="1:62">
      <c r="B2" s="150">
        <v>-0.15</v>
      </c>
      <c r="C2" s="10" t="s">
        <v>532</v>
      </c>
      <c r="D2" s="22">
        <v>0</v>
      </c>
      <c r="E2" s="22">
        <v>0</v>
      </c>
      <c r="F2" s="22">
        <f>26*(1+B2)</f>
        <v>22.099999999999998</v>
      </c>
      <c r="G2" s="22">
        <f>204*(1+B2)</f>
        <v>173.4</v>
      </c>
      <c r="H2" s="22">
        <f>442*(1+B2)</f>
        <v>375.7</v>
      </c>
      <c r="I2" s="152">
        <f>745*(1+B2)</f>
        <v>633.25</v>
      </c>
      <c r="J2" s="152">
        <f>836*(1+B2)</f>
        <v>710.6</v>
      </c>
      <c r="K2" s="152">
        <f>696*(1+B2)</f>
        <v>591.6</v>
      </c>
      <c r="L2" s="152">
        <f>515*(1+B2)</f>
        <v>437.75</v>
      </c>
      <c r="M2" s="152">
        <f>240*(1+B2)</f>
        <v>204</v>
      </c>
      <c r="N2" s="22">
        <f>74*(1+B2)</f>
        <v>62.9</v>
      </c>
      <c r="O2" s="22">
        <f>5*(1+B2)</f>
        <v>4.25</v>
      </c>
      <c r="P2" s="151">
        <f>SUM(D2:O2)</f>
        <v>3215.55</v>
      </c>
      <c r="R2" s="150">
        <v>-0.15</v>
      </c>
      <c r="S2" s="10" t="s">
        <v>532</v>
      </c>
      <c r="T2" s="22">
        <v>0</v>
      </c>
      <c r="U2" s="22">
        <v>0</v>
      </c>
      <c r="V2" s="22">
        <f>26*(1+R2)</f>
        <v>22.099999999999998</v>
      </c>
      <c r="W2" s="22">
        <f>204*(1+R2)</f>
        <v>173.4</v>
      </c>
      <c r="X2" s="22">
        <f>442*(1+R2)</f>
        <v>375.7</v>
      </c>
      <c r="Y2" s="152">
        <f>745*(1+R2)</f>
        <v>633.25</v>
      </c>
      <c r="Z2" s="152">
        <f>836*(1+R2)</f>
        <v>710.6</v>
      </c>
      <c r="AA2" s="152">
        <f>675*(1+R2)</f>
        <v>573.75</v>
      </c>
      <c r="AB2" s="152">
        <f>515*(1+R2)</f>
        <v>437.75</v>
      </c>
      <c r="AC2" s="152">
        <f>240*(1+R2)</f>
        <v>204</v>
      </c>
      <c r="AD2" s="22">
        <f>74*(1+R2)</f>
        <v>62.9</v>
      </c>
      <c r="AE2" s="22">
        <f>5*(1+R2)</f>
        <v>4.25</v>
      </c>
      <c r="AF2" s="151">
        <f>SUM(T2:AE2)</f>
        <v>3197.7000000000003</v>
      </c>
      <c r="AH2" s="150">
        <v>-0.15</v>
      </c>
      <c r="AI2" s="10" t="s">
        <v>532</v>
      </c>
      <c r="AJ2" s="22">
        <v>0</v>
      </c>
      <c r="AK2" s="22">
        <v>0</v>
      </c>
      <c r="AL2" s="22">
        <f>26*(1+AH2)</f>
        <v>22.099999999999998</v>
      </c>
      <c r="AM2" s="22">
        <f>204*(1+AH2)</f>
        <v>173.4</v>
      </c>
      <c r="AN2" s="22">
        <f>442*(1+AH2)</f>
        <v>375.7</v>
      </c>
      <c r="AO2" s="152">
        <f>745*(1+AH2)</f>
        <v>633.25</v>
      </c>
      <c r="AP2" s="152">
        <f>836*(1+AH2)</f>
        <v>710.6</v>
      </c>
      <c r="AQ2" s="152">
        <f>675*(1+AH2)</f>
        <v>573.75</v>
      </c>
      <c r="AR2" s="152">
        <f>515*(1+AH2)</f>
        <v>437.75</v>
      </c>
      <c r="AS2" s="152">
        <f>240*(1+AH2)</f>
        <v>204</v>
      </c>
      <c r="AT2" s="22">
        <f>74*(1+AH2)</f>
        <v>62.9</v>
      </c>
      <c r="AU2" s="22">
        <f>5*(1+AH2)</f>
        <v>4.25</v>
      </c>
      <c r="AV2" s="151">
        <f>SUM(AJ2:AU2)</f>
        <v>3197.7000000000003</v>
      </c>
      <c r="AX2" s="22"/>
      <c r="AY2" s="22"/>
      <c r="AZ2" s="22"/>
      <c r="BA2" s="22"/>
      <c r="BB2" s="22"/>
      <c r="BC2" s="22"/>
      <c r="BD2" s="22"/>
      <c r="BE2" s="152"/>
      <c r="BF2" s="22"/>
      <c r="BG2" s="22"/>
      <c r="BH2" s="22"/>
      <c r="BI2" s="22"/>
      <c r="BJ2" s="151"/>
    </row>
    <row r="3" spans="1:62">
      <c r="C3" s="10" t="s">
        <v>905</v>
      </c>
      <c r="D3" s="22">
        <v>0</v>
      </c>
      <c r="E3" s="22">
        <v>0</v>
      </c>
      <c r="F3" s="132">
        <v>17</v>
      </c>
      <c r="G3" s="132">
        <v>197</v>
      </c>
      <c r="H3" s="132">
        <v>340</v>
      </c>
      <c r="I3" s="153">
        <v>573</v>
      </c>
      <c r="J3" s="153">
        <v>685</v>
      </c>
      <c r="K3" s="153">
        <v>578</v>
      </c>
      <c r="L3" s="419">
        <v>233</v>
      </c>
      <c r="M3" s="153">
        <v>222</v>
      </c>
      <c r="N3" s="132">
        <v>10</v>
      </c>
      <c r="O3" s="132">
        <v>5</v>
      </c>
      <c r="P3" s="151"/>
      <c r="S3" s="10" t="s">
        <v>291</v>
      </c>
      <c r="T3" s="22">
        <v>0</v>
      </c>
      <c r="U3" s="22">
        <v>0</v>
      </c>
      <c r="V3" s="132"/>
      <c r="W3" s="132"/>
      <c r="X3" s="132"/>
      <c r="Y3" s="153"/>
      <c r="Z3" s="153"/>
      <c r="AA3" s="153"/>
      <c r="AB3" s="153"/>
      <c r="AC3" s="153"/>
      <c r="AD3" s="132"/>
      <c r="AE3" s="132"/>
      <c r="AF3" s="151"/>
      <c r="AI3" s="10" t="s">
        <v>291</v>
      </c>
      <c r="AJ3" s="22">
        <v>0</v>
      </c>
      <c r="AK3" s="22">
        <v>0</v>
      </c>
      <c r="AL3" s="132"/>
      <c r="AM3" s="132"/>
      <c r="AN3" s="132"/>
      <c r="AO3" s="153"/>
      <c r="AP3" s="153"/>
      <c r="AQ3" s="153"/>
      <c r="AR3" s="153"/>
      <c r="AS3" s="153"/>
      <c r="AT3" s="132"/>
      <c r="AU3" s="132"/>
      <c r="AV3" s="151"/>
      <c r="AX3" s="22"/>
      <c r="AY3" s="22"/>
      <c r="AZ3" s="22"/>
      <c r="BA3" s="22"/>
      <c r="BB3" s="22"/>
      <c r="BC3" s="22"/>
      <c r="BD3" s="22"/>
      <c r="BE3" s="152"/>
      <c r="BF3" s="22"/>
      <c r="BG3" s="22"/>
      <c r="BH3" s="22"/>
      <c r="BI3" s="22"/>
      <c r="BJ3" s="151"/>
    </row>
    <row r="4" spans="1:62">
      <c r="C4" s="10" t="s">
        <v>410</v>
      </c>
      <c r="D4" s="22"/>
      <c r="E4" s="22"/>
      <c r="F4" s="22">
        <f t="shared" ref="F4:N4" si="0">F3-F2</f>
        <v>-5.0999999999999979</v>
      </c>
      <c r="G4" s="22">
        <f t="shared" si="0"/>
        <v>23.599999999999994</v>
      </c>
      <c r="H4" s="22">
        <f t="shared" si="0"/>
        <v>-35.699999999999989</v>
      </c>
      <c r="I4" s="152">
        <f t="shared" si="0"/>
        <v>-60.25</v>
      </c>
      <c r="J4" s="152">
        <f t="shared" si="0"/>
        <v>-25.600000000000023</v>
      </c>
      <c r="K4" s="152">
        <f t="shared" si="0"/>
        <v>-13.600000000000023</v>
      </c>
      <c r="L4" s="152">
        <f t="shared" si="0"/>
        <v>-204.75</v>
      </c>
      <c r="M4" s="152">
        <f t="shared" si="0"/>
        <v>18</v>
      </c>
      <c r="N4" s="22">
        <f t="shared" si="0"/>
        <v>-52.9</v>
      </c>
      <c r="O4" s="22">
        <f>O3-O2</f>
        <v>0.75</v>
      </c>
      <c r="P4" s="151">
        <f>SUM(D4:O4)</f>
        <v>-355.55</v>
      </c>
      <c r="S4" s="10" t="s">
        <v>410</v>
      </c>
      <c r="T4" s="22"/>
      <c r="U4" s="22"/>
      <c r="V4" s="22">
        <f t="shared" ref="V4:AE4" si="1">V3-V2</f>
        <v>-22.099999999999998</v>
      </c>
      <c r="W4" s="22">
        <f t="shared" si="1"/>
        <v>-173.4</v>
      </c>
      <c r="X4" s="22">
        <f t="shared" si="1"/>
        <v>-375.7</v>
      </c>
      <c r="Y4" s="152">
        <f t="shared" si="1"/>
        <v>-633.25</v>
      </c>
      <c r="Z4" s="152">
        <f t="shared" si="1"/>
        <v>-710.6</v>
      </c>
      <c r="AA4" s="152">
        <f t="shared" si="1"/>
        <v>-573.75</v>
      </c>
      <c r="AB4" s="152">
        <f t="shared" si="1"/>
        <v>-437.75</v>
      </c>
      <c r="AC4" s="152">
        <f t="shared" si="1"/>
        <v>-204</v>
      </c>
      <c r="AD4" s="22">
        <f t="shared" si="1"/>
        <v>-62.9</v>
      </c>
      <c r="AE4" s="22">
        <f t="shared" si="1"/>
        <v>-4.25</v>
      </c>
      <c r="AF4" s="151">
        <f>SUM(T4:AE4)</f>
        <v>-3197.7000000000003</v>
      </c>
      <c r="AI4" s="10" t="s">
        <v>410</v>
      </c>
      <c r="AJ4" s="22"/>
      <c r="AK4" s="22"/>
      <c r="AL4" s="22">
        <f t="shared" ref="AL4:AU4" si="2">AL3-AL2</f>
        <v>-22.099999999999998</v>
      </c>
      <c r="AM4" s="22">
        <f t="shared" si="2"/>
        <v>-173.4</v>
      </c>
      <c r="AN4" s="22">
        <f t="shared" si="2"/>
        <v>-375.7</v>
      </c>
      <c r="AO4" s="152">
        <f t="shared" si="2"/>
        <v>-633.25</v>
      </c>
      <c r="AP4" s="152">
        <f t="shared" si="2"/>
        <v>-710.6</v>
      </c>
      <c r="AQ4" s="152">
        <f t="shared" si="2"/>
        <v>-573.75</v>
      </c>
      <c r="AR4" s="152">
        <f t="shared" si="2"/>
        <v>-437.75</v>
      </c>
      <c r="AS4" s="152">
        <f t="shared" si="2"/>
        <v>-204</v>
      </c>
      <c r="AT4" s="22">
        <f t="shared" si="2"/>
        <v>-62.9</v>
      </c>
      <c r="AU4" s="22">
        <f t="shared" si="2"/>
        <v>-4.25</v>
      </c>
      <c r="AV4" s="151">
        <f>SUM(AJ4:AU4)</f>
        <v>-3197.7000000000003</v>
      </c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151"/>
    </row>
    <row r="5" spans="1:62">
      <c r="C5" s="10" t="s">
        <v>411</v>
      </c>
      <c r="F5" s="124">
        <f t="shared" ref="F5:N5" si="3">F4/F2</f>
        <v>-0.2307692307692307</v>
      </c>
      <c r="G5" s="124">
        <f t="shared" si="3"/>
        <v>0.13610149942329869</v>
      </c>
      <c r="H5" s="124">
        <f t="shared" si="3"/>
        <v>-9.5022624434389108E-2</v>
      </c>
      <c r="I5" s="165">
        <f t="shared" si="3"/>
        <v>-9.5144097907619421E-2</v>
      </c>
      <c r="J5" s="165">
        <f t="shared" si="3"/>
        <v>-3.6025893611032964E-2</v>
      </c>
      <c r="K5" s="165">
        <f t="shared" si="3"/>
        <v>-2.2988505747126475E-2</v>
      </c>
      <c r="L5" s="165">
        <f t="shared" si="3"/>
        <v>-0.46773272415762424</v>
      </c>
      <c r="M5" s="165">
        <f t="shared" si="3"/>
        <v>8.8235294117647065E-2</v>
      </c>
      <c r="N5" s="124">
        <f t="shared" si="3"/>
        <v>-0.8410174880763116</v>
      </c>
      <c r="O5" s="124">
        <f>O4/O2</f>
        <v>0.17647058823529413</v>
      </c>
      <c r="S5" s="10" t="s">
        <v>411</v>
      </c>
      <c r="V5" s="124">
        <f t="shared" ref="V5:AE5" si="4">V4/V2</f>
        <v>-1</v>
      </c>
      <c r="W5" s="124">
        <f t="shared" si="4"/>
        <v>-1</v>
      </c>
      <c r="X5" s="124">
        <f t="shared" si="4"/>
        <v>-1</v>
      </c>
      <c r="Y5" s="165">
        <f t="shared" si="4"/>
        <v>-1</v>
      </c>
      <c r="Z5" s="165">
        <f t="shared" si="4"/>
        <v>-1</v>
      </c>
      <c r="AA5" s="165">
        <f t="shared" si="4"/>
        <v>-1</v>
      </c>
      <c r="AB5" s="165">
        <f t="shared" si="4"/>
        <v>-1</v>
      </c>
      <c r="AC5" s="165">
        <f t="shared" si="4"/>
        <v>-1</v>
      </c>
      <c r="AD5" s="124">
        <f t="shared" si="4"/>
        <v>-1</v>
      </c>
      <c r="AE5" s="124">
        <f t="shared" si="4"/>
        <v>-1</v>
      </c>
      <c r="AI5" s="10" t="s">
        <v>411</v>
      </c>
      <c r="AL5" s="124">
        <f t="shared" ref="AL5:AU5" si="5">AL4/AL2</f>
        <v>-1</v>
      </c>
      <c r="AM5" s="124">
        <f t="shared" si="5"/>
        <v>-1</v>
      </c>
      <c r="AN5" s="124">
        <f t="shared" si="5"/>
        <v>-1</v>
      </c>
      <c r="AO5" s="165">
        <f t="shared" si="5"/>
        <v>-1</v>
      </c>
      <c r="AP5" s="165">
        <f t="shared" si="5"/>
        <v>-1</v>
      </c>
      <c r="AQ5" s="165">
        <f t="shared" si="5"/>
        <v>-1</v>
      </c>
      <c r="AR5" s="165">
        <f t="shared" si="5"/>
        <v>-1</v>
      </c>
      <c r="AS5" s="165">
        <f t="shared" si="5"/>
        <v>-1</v>
      </c>
      <c r="AT5" s="124">
        <f t="shared" si="5"/>
        <v>-1</v>
      </c>
      <c r="AU5" s="124">
        <f t="shared" si="5"/>
        <v>-1</v>
      </c>
      <c r="AZ5" s="124"/>
      <c r="BA5" s="124"/>
      <c r="BB5" s="124"/>
      <c r="BC5" s="124"/>
      <c r="BD5" s="124"/>
      <c r="BE5" s="124"/>
      <c r="BF5" s="124"/>
      <c r="BG5" s="124"/>
      <c r="BH5" s="124"/>
    </row>
    <row r="6" spans="1:62">
      <c r="C6" s="10" t="s">
        <v>633</v>
      </c>
      <c r="D6" s="22"/>
      <c r="E6" s="22"/>
      <c r="F6" s="22">
        <f>F2</f>
        <v>22.099999999999998</v>
      </c>
      <c r="G6" s="22">
        <f t="shared" ref="G6:L6" si="6">F6+G2</f>
        <v>195.5</v>
      </c>
      <c r="H6" s="22">
        <f t="shared" si="6"/>
        <v>571.20000000000005</v>
      </c>
      <c r="I6" s="152">
        <f t="shared" si="6"/>
        <v>1204.45</v>
      </c>
      <c r="J6" s="152">
        <f t="shared" si="6"/>
        <v>1915.0500000000002</v>
      </c>
      <c r="K6" s="152">
        <f t="shared" si="6"/>
        <v>2506.65</v>
      </c>
      <c r="L6" s="152">
        <f t="shared" si="6"/>
        <v>2944.4</v>
      </c>
      <c r="M6" s="152">
        <f t="shared" ref="M6:O7" si="7">L6+M2</f>
        <v>3148.4</v>
      </c>
      <c r="N6" s="22">
        <f t="shared" si="7"/>
        <v>3211.3</v>
      </c>
      <c r="O6" s="22">
        <f t="shared" si="7"/>
        <v>3215.55</v>
      </c>
      <c r="P6" s="151"/>
      <c r="Q6" s="22"/>
      <c r="S6" s="10" t="s">
        <v>633</v>
      </c>
      <c r="T6" s="22"/>
      <c r="U6" s="22"/>
      <c r="V6" s="22">
        <f>V2</f>
        <v>22.099999999999998</v>
      </c>
      <c r="W6" s="22">
        <f t="shared" ref="W6:AB7" si="8">V6+W2</f>
        <v>195.5</v>
      </c>
      <c r="X6" s="22">
        <f t="shared" si="8"/>
        <v>571.20000000000005</v>
      </c>
      <c r="Y6" s="152">
        <f t="shared" si="8"/>
        <v>1204.45</v>
      </c>
      <c r="Z6" s="152">
        <f t="shared" si="8"/>
        <v>1915.0500000000002</v>
      </c>
      <c r="AA6" s="152">
        <f t="shared" si="8"/>
        <v>2488.8000000000002</v>
      </c>
      <c r="AB6" s="152">
        <f t="shared" si="8"/>
        <v>2926.55</v>
      </c>
      <c r="AC6" s="152">
        <f t="shared" ref="AC6:AE7" si="9">AB6+AC2</f>
        <v>3130.55</v>
      </c>
      <c r="AD6" s="22">
        <f t="shared" si="9"/>
        <v>3193.4500000000003</v>
      </c>
      <c r="AE6" s="22">
        <f t="shared" si="9"/>
        <v>3197.7000000000003</v>
      </c>
      <c r="AF6" s="151"/>
      <c r="AI6" s="10" t="s">
        <v>633</v>
      </c>
      <c r="AJ6" s="22"/>
      <c r="AK6" s="22"/>
      <c r="AL6" s="22">
        <f>AL2</f>
        <v>22.099999999999998</v>
      </c>
      <c r="AM6" s="22">
        <f t="shared" ref="AM6:AR7" si="10">AL6+AM2</f>
        <v>195.5</v>
      </c>
      <c r="AN6" s="22">
        <f t="shared" si="10"/>
        <v>571.20000000000005</v>
      </c>
      <c r="AO6" s="152">
        <f t="shared" si="10"/>
        <v>1204.45</v>
      </c>
      <c r="AP6" s="152">
        <f t="shared" si="10"/>
        <v>1915.0500000000002</v>
      </c>
      <c r="AQ6" s="152">
        <f t="shared" si="10"/>
        <v>2488.8000000000002</v>
      </c>
      <c r="AR6" s="152">
        <f t="shared" si="10"/>
        <v>2926.55</v>
      </c>
      <c r="AS6" s="152">
        <f t="shared" ref="AS6:AU7" si="11">AR6+AS2</f>
        <v>3130.55</v>
      </c>
      <c r="AT6" s="22">
        <f t="shared" si="11"/>
        <v>3193.4500000000003</v>
      </c>
      <c r="AU6" s="22">
        <f t="shared" si="11"/>
        <v>3197.7000000000003</v>
      </c>
      <c r="AV6" s="151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151"/>
    </row>
    <row r="7" spans="1:62">
      <c r="C7" s="22" t="s">
        <v>634</v>
      </c>
      <c r="D7" s="22"/>
      <c r="E7" s="22"/>
      <c r="F7" s="22">
        <f>F3</f>
        <v>17</v>
      </c>
      <c r="G7" s="22">
        <f t="shared" ref="G7:L7" si="12">F7+G3</f>
        <v>214</v>
      </c>
      <c r="H7" s="22">
        <f t="shared" si="12"/>
        <v>554</v>
      </c>
      <c r="I7" s="152">
        <f t="shared" si="12"/>
        <v>1127</v>
      </c>
      <c r="J7" s="152">
        <f t="shared" si="12"/>
        <v>1812</v>
      </c>
      <c r="K7" s="152">
        <f t="shared" si="12"/>
        <v>2390</v>
      </c>
      <c r="L7" s="152">
        <f t="shared" si="12"/>
        <v>2623</v>
      </c>
      <c r="M7" s="152">
        <f t="shared" si="7"/>
        <v>2845</v>
      </c>
      <c r="N7" s="22">
        <f t="shared" si="7"/>
        <v>2855</v>
      </c>
      <c r="O7" s="22">
        <f t="shared" si="7"/>
        <v>2860</v>
      </c>
      <c r="P7" s="124"/>
      <c r="Q7" s="124"/>
      <c r="S7" s="22" t="s">
        <v>634</v>
      </c>
      <c r="T7" s="22"/>
      <c r="U7" s="22"/>
      <c r="V7" s="22">
        <f>V3</f>
        <v>0</v>
      </c>
      <c r="W7" s="22">
        <f t="shared" si="8"/>
        <v>0</v>
      </c>
      <c r="X7" s="22">
        <f t="shared" si="8"/>
        <v>0</v>
      </c>
      <c r="Y7" s="152">
        <f t="shared" si="8"/>
        <v>0</v>
      </c>
      <c r="Z7" s="152">
        <f t="shared" si="8"/>
        <v>0</v>
      </c>
      <c r="AA7" s="152">
        <f t="shared" si="8"/>
        <v>0</v>
      </c>
      <c r="AB7" s="152">
        <f t="shared" si="8"/>
        <v>0</v>
      </c>
      <c r="AC7" s="152">
        <f t="shared" si="9"/>
        <v>0</v>
      </c>
      <c r="AD7" s="22">
        <f t="shared" si="9"/>
        <v>0</v>
      </c>
      <c r="AE7" s="22">
        <f t="shared" si="9"/>
        <v>0</v>
      </c>
      <c r="AF7" s="22"/>
      <c r="AI7" s="22" t="s">
        <v>634</v>
      </c>
      <c r="AJ7" s="22"/>
      <c r="AK7" s="22"/>
      <c r="AL7" s="22">
        <f>AL3</f>
        <v>0</v>
      </c>
      <c r="AM7" s="22">
        <f t="shared" si="10"/>
        <v>0</v>
      </c>
      <c r="AN7" s="22">
        <f t="shared" si="10"/>
        <v>0</v>
      </c>
      <c r="AO7" s="152">
        <f t="shared" si="10"/>
        <v>0</v>
      </c>
      <c r="AP7" s="152">
        <f t="shared" si="10"/>
        <v>0</v>
      </c>
      <c r="AQ7" s="152">
        <f t="shared" si="10"/>
        <v>0</v>
      </c>
      <c r="AR7" s="152">
        <f t="shared" si="10"/>
        <v>0</v>
      </c>
      <c r="AS7" s="152">
        <f t="shared" si="11"/>
        <v>0</v>
      </c>
      <c r="AT7" s="22">
        <f t="shared" si="11"/>
        <v>0</v>
      </c>
      <c r="AU7" s="22">
        <f t="shared" si="11"/>
        <v>0</v>
      </c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>
      <c r="C8" s="10" t="s">
        <v>635</v>
      </c>
      <c r="F8" s="22">
        <f t="shared" ref="F8:N8" si="13">F7-F6</f>
        <v>-5.0999999999999979</v>
      </c>
      <c r="G8" s="22">
        <f t="shared" si="13"/>
        <v>18.5</v>
      </c>
      <c r="H8" s="22">
        <f t="shared" si="13"/>
        <v>-17.200000000000045</v>
      </c>
      <c r="I8" s="152">
        <f t="shared" si="13"/>
        <v>-77.450000000000045</v>
      </c>
      <c r="J8" s="152">
        <f t="shared" si="13"/>
        <v>-103.05000000000018</v>
      </c>
      <c r="K8" s="152">
        <f t="shared" si="13"/>
        <v>-116.65000000000009</v>
      </c>
      <c r="L8" s="152">
        <f t="shared" si="13"/>
        <v>-321.40000000000009</v>
      </c>
      <c r="M8" s="152">
        <f t="shared" si="13"/>
        <v>-303.40000000000009</v>
      </c>
      <c r="N8" s="22">
        <f t="shared" si="13"/>
        <v>-356.30000000000018</v>
      </c>
      <c r="O8" s="22">
        <f>O7-O6</f>
        <v>-355.55000000000018</v>
      </c>
      <c r="P8" s="124"/>
      <c r="Q8" s="22"/>
      <c r="S8" s="10" t="s">
        <v>635</v>
      </c>
      <c r="V8" s="22">
        <f t="shared" ref="V8:AE8" si="14">V7-V6</f>
        <v>-22.099999999999998</v>
      </c>
      <c r="W8" s="22">
        <f t="shared" si="14"/>
        <v>-195.5</v>
      </c>
      <c r="X8" s="22">
        <f t="shared" si="14"/>
        <v>-571.20000000000005</v>
      </c>
      <c r="Y8" s="152">
        <f t="shared" si="14"/>
        <v>-1204.45</v>
      </c>
      <c r="Z8" s="152">
        <f t="shared" si="14"/>
        <v>-1915.0500000000002</v>
      </c>
      <c r="AA8" s="152">
        <f t="shared" si="14"/>
        <v>-2488.8000000000002</v>
      </c>
      <c r="AB8" s="152">
        <f t="shared" si="14"/>
        <v>-2926.55</v>
      </c>
      <c r="AC8" s="152">
        <f t="shared" si="14"/>
        <v>-3130.55</v>
      </c>
      <c r="AD8" s="22">
        <f t="shared" si="14"/>
        <v>-3193.4500000000003</v>
      </c>
      <c r="AE8" s="22">
        <f t="shared" si="14"/>
        <v>-3197.7000000000003</v>
      </c>
      <c r="AI8" s="10" t="s">
        <v>635</v>
      </c>
      <c r="AL8" s="22">
        <f t="shared" ref="AL8:AU8" si="15">AL7-AL6</f>
        <v>-22.099999999999998</v>
      </c>
      <c r="AM8" s="22">
        <f t="shared" si="15"/>
        <v>-195.5</v>
      </c>
      <c r="AN8" s="22">
        <f t="shared" si="15"/>
        <v>-571.20000000000005</v>
      </c>
      <c r="AO8" s="152">
        <f t="shared" si="15"/>
        <v>-1204.45</v>
      </c>
      <c r="AP8" s="152">
        <f t="shared" si="15"/>
        <v>-1915.0500000000002</v>
      </c>
      <c r="AQ8" s="152">
        <f t="shared" si="15"/>
        <v>-2488.8000000000002</v>
      </c>
      <c r="AR8" s="152">
        <f t="shared" si="15"/>
        <v>-2926.55</v>
      </c>
      <c r="AS8" s="152">
        <f t="shared" si="15"/>
        <v>-3130.55</v>
      </c>
      <c r="AT8" s="22">
        <f t="shared" si="15"/>
        <v>-3193.4500000000003</v>
      </c>
      <c r="AU8" s="22">
        <f t="shared" si="15"/>
        <v>-3197.7000000000003</v>
      </c>
      <c r="AZ8" s="22"/>
      <c r="BA8" s="22"/>
      <c r="BB8" s="22"/>
      <c r="BC8" s="22"/>
      <c r="BD8" s="22"/>
      <c r="BE8" s="22"/>
      <c r="BF8" s="22"/>
      <c r="BG8" s="22"/>
      <c r="BH8" s="22"/>
    </row>
    <row r="9" spans="1:62">
      <c r="C9" s="10" t="s">
        <v>636</v>
      </c>
      <c r="F9" s="124">
        <f t="shared" ref="F9:N9" si="16">F8/F6</f>
        <v>-0.2307692307692307</v>
      </c>
      <c r="G9" s="124">
        <f t="shared" si="16"/>
        <v>9.4629156010230184E-2</v>
      </c>
      <c r="H9" s="124">
        <f t="shared" si="16"/>
        <v>-3.0112044817927248E-2</v>
      </c>
      <c r="I9" s="165">
        <f t="shared" si="16"/>
        <v>-6.4303208933538164E-2</v>
      </c>
      <c r="J9" s="165">
        <f t="shared" si="16"/>
        <v>-5.3810605467220267E-2</v>
      </c>
      <c r="K9" s="165">
        <f t="shared" si="16"/>
        <v>-4.6536213671633492E-2</v>
      </c>
      <c r="L9" s="165">
        <f t="shared" si="16"/>
        <v>-0.10915636462437171</v>
      </c>
      <c r="M9" s="165">
        <f t="shared" si="16"/>
        <v>-9.6366408334392098E-2</v>
      </c>
      <c r="N9" s="124">
        <f t="shared" si="16"/>
        <v>-0.11095195092330214</v>
      </c>
      <c r="O9" s="124">
        <f>O8/O6</f>
        <v>-0.11057206387709728</v>
      </c>
      <c r="P9" s="179"/>
      <c r="Q9" s="124"/>
      <c r="S9" s="10" t="s">
        <v>636</v>
      </c>
      <c r="V9" s="124">
        <f t="shared" ref="V9:AE9" si="17">V8/V6</f>
        <v>-1</v>
      </c>
      <c r="W9" s="124">
        <f t="shared" si="17"/>
        <v>-1</v>
      </c>
      <c r="X9" s="124">
        <f t="shared" si="17"/>
        <v>-1</v>
      </c>
      <c r="Y9" s="165">
        <f t="shared" si="17"/>
        <v>-1</v>
      </c>
      <c r="Z9" s="165">
        <f t="shared" si="17"/>
        <v>-1</v>
      </c>
      <c r="AA9" s="165">
        <f t="shared" si="17"/>
        <v>-1</v>
      </c>
      <c r="AB9" s="165">
        <f t="shared" si="17"/>
        <v>-1</v>
      </c>
      <c r="AC9" s="165">
        <f t="shared" si="17"/>
        <v>-1</v>
      </c>
      <c r="AD9" s="124">
        <f t="shared" si="17"/>
        <v>-1</v>
      </c>
      <c r="AE9" s="124">
        <f t="shared" si="17"/>
        <v>-1</v>
      </c>
      <c r="AF9" s="154"/>
      <c r="AI9" s="10" t="s">
        <v>636</v>
      </c>
      <c r="AL9" s="124">
        <f t="shared" ref="AL9:AU9" si="18">AL8/AL6</f>
        <v>-1</v>
      </c>
      <c r="AM9" s="124">
        <f t="shared" si="18"/>
        <v>-1</v>
      </c>
      <c r="AN9" s="124">
        <f t="shared" si="18"/>
        <v>-1</v>
      </c>
      <c r="AO9" s="165">
        <f t="shared" si="18"/>
        <v>-1</v>
      </c>
      <c r="AP9" s="165">
        <f t="shared" si="18"/>
        <v>-1</v>
      </c>
      <c r="AQ9" s="165">
        <f t="shared" si="18"/>
        <v>-1</v>
      </c>
      <c r="AR9" s="165">
        <f t="shared" si="18"/>
        <v>-1</v>
      </c>
      <c r="AS9" s="165">
        <f t="shared" si="18"/>
        <v>-1</v>
      </c>
      <c r="AT9" s="124">
        <f t="shared" si="18"/>
        <v>-1</v>
      </c>
      <c r="AU9" s="124">
        <f t="shared" si="18"/>
        <v>-1</v>
      </c>
      <c r="AV9" s="154"/>
      <c r="AZ9" s="124"/>
      <c r="BA9" s="124"/>
      <c r="BB9" s="124"/>
      <c r="BC9" s="124"/>
      <c r="BD9" s="124"/>
      <c r="BE9" s="124"/>
      <c r="BF9" s="124"/>
      <c r="BG9" s="124"/>
      <c r="BH9" s="124"/>
      <c r="BJ9" s="154"/>
    </row>
    <row r="10" spans="1:62">
      <c r="I10" s="152"/>
      <c r="J10" s="165"/>
      <c r="K10" s="165"/>
      <c r="L10" s="165"/>
      <c r="M10" s="165"/>
      <c r="P10" s="297" t="s">
        <v>936</v>
      </c>
      <c r="Y10" s="124"/>
      <c r="Z10" s="124"/>
      <c r="AA10" s="124"/>
      <c r="AB10" s="22"/>
      <c r="AC10" s="124"/>
      <c r="AF10" s="154"/>
      <c r="AO10" s="124"/>
      <c r="AP10" s="124"/>
      <c r="AQ10" s="124"/>
      <c r="AR10" s="124"/>
      <c r="AS10" s="124"/>
      <c r="AV10" s="154"/>
      <c r="BC10" s="124"/>
      <c r="BD10" s="124"/>
      <c r="BE10" s="124"/>
      <c r="BF10" s="124"/>
      <c r="BG10" s="124"/>
      <c r="BJ10" s="154"/>
    </row>
    <row r="11" spans="1:62">
      <c r="D11" s="124"/>
      <c r="E11" s="124"/>
      <c r="F11" s="124"/>
      <c r="G11" s="124"/>
      <c r="H11" s="22"/>
      <c r="I11" s="165"/>
      <c r="J11" s="165"/>
      <c r="K11" s="165"/>
      <c r="L11" s="165"/>
      <c r="M11" s="356"/>
      <c r="N11" s="356"/>
      <c r="O11" s="316"/>
      <c r="P11" s="179"/>
      <c r="Y11" s="124"/>
      <c r="Z11" s="124"/>
      <c r="AA11" s="124"/>
      <c r="AB11" s="22"/>
      <c r="AC11" s="175"/>
      <c r="AF11" s="154"/>
      <c r="AO11" s="124"/>
      <c r="AP11" s="124"/>
      <c r="AQ11" s="124"/>
      <c r="AR11" s="124"/>
      <c r="AS11" s="124"/>
      <c r="AV11" s="154"/>
      <c r="BC11" s="124"/>
      <c r="BD11" s="124"/>
      <c r="BE11" s="124"/>
      <c r="BF11" s="124"/>
      <c r="BG11" s="124"/>
      <c r="BJ11" s="154"/>
    </row>
    <row r="12" spans="1:62">
      <c r="B12" s="11" t="s">
        <v>84</v>
      </c>
      <c r="C12" s="11" t="s">
        <v>164</v>
      </c>
      <c r="D12" s="149">
        <v>40725</v>
      </c>
      <c r="E12" s="149">
        <v>40756</v>
      </c>
      <c r="F12" s="149">
        <v>40787</v>
      </c>
      <c r="G12" s="149">
        <v>40817</v>
      </c>
      <c r="H12" s="149">
        <v>40848</v>
      </c>
      <c r="I12" s="149">
        <v>40878</v>
      </c>
      <c r="J12" s="149">
        <v>40909</v>
      </c>
      <c r="K12" s="149">
        <v>40940</v>
      </c>
      <c r="L12" s="149">
        <v>40969</v>
      </c>
      <c r="M12" s="149">
        <v>41000</v>
      </c>
      <c r="N12" s="149">
        <v>41030</v>
      </c>
      <c r="O12" s="149">
        <v>41061</v>
      </c>
      <c r="P12" s="11" t="s">
        <v>857</v>
      </c>
      <c r="R12" s="11" t="s">
        <v>84</v>
      </c>
      <c r="S12" s="11" t="s">
        <v>164</v>
      </c>
      <c r="T12" s="149">
        <v>41091</v>
      </c>
      <c r="U12" s="149">
        <v>41122</v>
      </c>
      <c r="V12" s="149">
        <v>41153</v>
      </c>
      <c r="W12" s="149">
        <v>41183</v>
      </c>
      <c r="X12" s="149">
        <v>41214</v>
      </c>
      <c r="Y12" s="149">
        <v>41244</v>
      </c>
      <c r="Z12" s="149">
        <v>41275</v>
      </c>
      <c r="AA12" s="149">
        <v>41306</v>
      </c>
      <c r="AB12" s="149">
        <v>41334</v>
      </c>
      <c r="AC12" s="149">
        <v>41365</v>
      </c>
      <c r="AD12" s="149">
        <v>41395</v>
      </c>
      <c r="AE12" s="149">
        <v>41426</v>
      </c>
      <c r="AF12" s="11" t="s">
        <v>878</v>
      </c>
      <c r="AH12" s="11" t="s">
        <v>84</v>
      </c>
      <c r="AI12" s="11" t="s">
        <v>164</v>
      </c>
      <c r="AJ12" s="149">
        <v>41456</v>
      </c>
      <c r="AK12" s="149">
        <v>41487</v>
      </c>
      <c r="AL12" s="149">
        <v>41518</v>
      </c>
      <c r="AM12" s="149">
        <v>41548</v>
      </c>
      <c r="AN12" s="149">
        <v>41579</v>
      </c>
      <c r="AO12" s="149">
        <v>41609</v>
      </c>
      <c r="AP12" s="149">
        <v>41640</v>
      </c>
      <c r="AQ12" s="149">
        <v>41671</v>
      </c>
      <c r="AR12" s="149">
        <v>41699</v>
      </c>
      <c r="AS12" s="149">
        <v>41730</v>
      </c>
      <c r="AT12" s="149">
        <v>41760</v>
      </c>
      <c r="AU12" s="149">
        <v>41791</v>
      </c>
      <c r="AV12" s="11" t="s">
        <v>906</v>
      </c>
      <c r="AW12" s="11"/>
      <c r="AX12" s="149"/>
      <c r="AY12" s="149"/>
      <c r="AZ12" s="149"/>
      <c r="BA12" s="149"/>
      <c r="BB12" s="149"/>
      <c r="BC12" s="149"/>
      <c r="BD12" s="149"/>
      <c r="BE12" s="149"/>
      <c r="BF12" s="149"/>
      <c r="BG12" s="149"/>
      <c r="BH12" s="149"/>
      <c r="BI12" s="149"/>
      <c r="BJ12" s="11"/>
    </row>
    <row r="13" spans="1:62" s="22" customFormat="1">
      <c r="B13" s="155">
        <v>0.05</v>
      </c>
      <c r="C13" s="156" t="s">
        <v>399</v>
      </c>
      <c r="D13" s="22">
        <f>D22/(1-$B$13)</f>
        <v>306110.31578947371</v>
      </c>
      <c r="E13" s="22">
        <f t="shared" ref="E13:O13" si="19">E22/(1-$B$13)</f>
        <v>306110.31578947371</v>
      </c>
      <c r="F13" s="22">
        <f t="shared" si="19"/>
        <v>355141.04376731307</v>
      </c>
      <c r="G13" s="22">
        <f t="shared" si="19"/>
        <v>768290.00332409982</v>
      </c>
      <c r="H13" s="22">
        <f t="shared" si="19"/>
        <v>1297625.1124653742</v>
      </c>
      <c r="I13" s="152">
        <f t="shared" si="19"/>
        <v>1993972.4099722996</v>
      </c>
      <c r="J13" s="152">
        <f t="shared" si="19"/>
        <v>2200140.8000000003</v>
      </c>
      <c r="K13" s="152">
        <f t="shared" si="19"/>
        <v>1853335.0825484768</v>
      </c>
      <c r="L13" s="152">
        <f t="shared" si="19"/>
        <v>1472887.4681440445</v>
      </c>
      <c r="M13" s="152">
        <f t="shared" si="19"/>
        <v>839976.5983379503</v>
      </c>
      <c r="N13" s="22">
        <f t="shared" si="19"/>
        <v>473763.73185595579</v>
      </c>
      <c r="O13" s="22">
        <f t="shared" si="19"/>
        <v>307563.72299168975</v>
      </c>
      <c r="P13" s="160">
        <f>SUM(D13:O13)</f>
        <v>12174916.60498615</v>
      </c>
      <c r="Q13" s="22">
        <f>P13-[5]MCFS!$AF$13</f>
        <v>-649014.24358044378</v>
      </c>
      <c r="R13" s="155">
        <v>0.05</v>
      </c>
      <c r="S13" s="156" t="s">
        <v>399</v>
      </c>
      <c r="T13" s="22">
        <f>T22/(1-$R$13)</f>
        <v>309861.22991689754</v>
      </c>
      <c r="U13" s="22">
        <f t="shared" ref="U13:AE13" si="20">U22/(1-$R$13)</f>
        <v>309861.22991689754</v>
      </c>
      <c r="V13" s="22">
        <f t="shared" si="20"/>
        <v>359458.57063711912</v>
      </c>
      <c r="W13" s="22">
        <f t="shared" si="20"/>
        <v>777436.01108033268</v>
      </c>
      <c r="X13" s="22">
        <f t="shared" si="20"/>
        <v>1312944.398891967</v>
      </c>
      <c r="Y13" s="22">
        <f t="shared" si="20"/>
        <v>2017425.9944598339</v>
      </c>
      <c r="Z13" s="22">
        <f t="shared" si="20"/>
        <v>2226001.0193905816</v>
      </c>
      <c r="AA13" s="22">
        <f>AA22/(1-$R$13)</f>
        <v>1826997.0969529089</v>
      </c>
      <c r="AB13" s="22">
        <f t="shared" si="20"/>
        <v>1490258.3490304714</v>
      </c>
      <c r="AC13" s="22">
        <f t="shared" si="20"/>
        <v>849953.68421052652</v>
      </c>
      <c r="AD13" s="22">
        <f t="shared" si="20"/>
        <v>479471.68975069257</v>
      </c>
      <c r="AE13" s="22">
        <f t="shared" si="20"/>
        <v>311325.87257617735</v>
      </c>
      <c r="AF13" s="160">
        <f>SUM(T13:AE13)</f>
        <v>12270995.146814406</v>
      </c>
      <c r="AH13" s="155">
        <v>0.05</v>
      </c>
      <c r="AI13" s="156" t="s">
        <v>399</v>
      </c>
      <c r="AJ13" s="22">
        <f>AJ22/(1-$AH$13)</f>
        <v>314290.88088642666</v>
      </c>
      <c r="AK13" s="22">
        <f t="shared" ref="AK13:AU13" si="21">AK22/(1-$AH$13)</f>
        <v>314290.88088642666</v>
      </c>
      <c r="AL13" s="22">
        <f t="shared" si="21"/>
        <v>364585.74182825483</v>
      </c>
      <c r="AM13" s="22">
        <f t="shared" si="21"/>
        <v>788459.66537396132</v>
      </c>
      <c r="AN13" s="22">
        <f t="shared" si="21"/>
        <v>1331518.165096953</v>
      </c>
      <c r="AO13" s="22">
        <f t="shared" si="21"/>
        <v>2045936.6869806098</v>
      </c>
      <c r="AP13" s="22">
        <f t="shared" si="21"/>
        <v>2257453.1545706377</v>
      </c>
      <c r="AQ13" s="22">
        <f t="shared" si="21"/>
        <v>1852816.4653739615</v>
      </c>
      <c r="AR13" s="22">
        <f t="shared" si="21"/>
        <v>1511334.6260387814</v>
      </c>
      <c r="AS13" s="22">
        <f t="shared" si="21"/>
        <v>861998.09418282565</v>
      </c>
      <c r="AT13" s="22">
        <f t="shared" si="21"/>
        <v>486293.28310249309</v>
      </c>
      <c r="AU13" s="22">
        <f t="shared" si="21"/>
        <v>315774.24930747924</v>
      </c>
      <c r="AV13" s="160">
        <f>SUM(AJ13:AU13)</f>
        <v>12444751.893628813</v>
      </c>
      <c r="AW13" s="156"/>
      <c r="BJ13" s="160"/>
    </row>
    <row r="14" spans="1:62" s="22" customFormat="1">
      <c r="A14" s="143">
        <f>A23/(1-$B$13)</f>
        <v>9874.5263157894751</v>
      </c>
      <c r="B14" s="143">
        <f>B23/(1-$B$13)</f>
        <v>2665.3961218836566</v>
      </c>
      <c r="C14" s="156" t="s">
        <v>637</v>
      </c>
      <c r="D14" s="22">
        <f>D13</f>
        <v>306110.31578947371</v>
      </c>
      <c r="E14" s="22">
        <f>D14+E13</f>
        <v>612220.63157894742</v>
      </c>
      <c r="F14" s="22">
        <f t="shared" ref="F14:O14" si="22">E14+F13</f>
        <v>967361.67534626042</v>
      </c>
      <c r="G14" s="22">
        <f t="shared" si="22"/>
        <v>1735651.6786703602</v>
      </c>
      <c r="H14" s="22">
        <f t="shared" si="22"/>
        <v>3033276.7911357344</v>
      </c>
      <c r="I14" s="152">
        <f t="shared" si="22"/>
        <v>5027249.2011080338</v>
      </c>
      <c r="J14" s="152">
        <f t="shared" si="22"/>
        <v>7227390.0011080336</v>
      </c>
      <c r="K14" s="152">
        <f t="shared" si="22"/>
        <v>9080725.0836565103</v>
      </c>
      <c r="L14" s="152">
        <f t="shared" si="22"/>
        <v>10553612.551800555</v>
      </c>
      <c r="M14" s="152">
        <f t="shared" si="22"/>
        <v>11393589.150138505</v>
      </c>
      <c r="N14" s="22">
        <f t="shared" si="22"/>
        <v>11867352.88199446</v>
      </c>
      <c r="O14" s="22">
        <f t="shared" si="22"/>
        <v>12174916.60498615</v>
      </c>
      <c r="P14" s="28"/>
      <c r="S14" s="156" t="s">
        <v>637</v>
      </c>
      <c r="T14" s="22">
        <f>T13</f>
        <v>309861.22991689754</v>
      </c>
      <c r="U14" s="22">
        <f t="shared" ref="U14:AE14" si="23">U13</f>
        <v>309861.22991689754</v>
      </c>
      <c r="V14" s="22">
        <f t="shared" si="23"/>
        <v>359458.57063711912</v>
      </c>
      <c r="W14" s="22">
        <f t="shared" si="23"/>
        <v>777436.01108033268</v>
      </c>
      <c r="X14" s="22">
        <f t="shared" si="23"/>
        <v>1312944.398891967</v>
      </c>
      <c r="Y14" s="22">
        <f t="shared" si="23"/>
        <v>2017425.9944598339</v>
      </c>
      <c r="Z14" s="22">
        <f t="shared" si="23"/>
        <v>2226001.0193905816</v>
      </c>
      <c r="AA14" s="22">
        <f t="shared" si="23"/>
        <v>1826997.0969529089</v>
      </c>
      <c r="AB14" s="22">
        <f t="shared" si="23"/>
        <v>1490258.3490304714</v>
      </c>
      <c r="AC14" s="22">
        <f t="shared" si="23"/>
        <v>849953.68421052652</v>
      </c>
      <c r="AD14" s="22">
        <f t="shared" si="23"/>
        <v>479471.68975069257</v>
      </c>
      <c r="AE14" s="22">
        <f t="shared" si="23"/>
        <v>311325.87257617735</v>
      </c>
      <c r="AI14" s="156" t="s">
        <v>637</v>
      </c>
      <c r="AJ14" s="22">
        <f>AJ13</f>
        <v>314290.88088642666</v>
      </c>
      <c r="AK14" s="22">
        <f t="shared" ref="AK14:AU14" si="24">AK13</f>
        <v>314290.88088642666</v>
      </c>
      <c r="AL14" s="22">
        <f t="shared" si="24"/>
        <v>364585.74182825483</v>
      </c>
      <c r="AM14" s="22">
        <f t="shared" si="24"/>
        <v>788459.66537396132</v>
      </c>
      <c r="AN14" s="22">
        <f t="shared" si="24"/>
        <v>1331518.165096953</v>
      </c>
      <c r="AO14" s="22">
        <f t="shared" si="24"/>
        <v>2045936.6869806098</v>
      </c>
      <c r="AP14" s="22">
        <f t="shared" si="24"/>
        <v>2257453.1545706377</v>
      </c>
      <c r="AQ14" s="22">
        <f t="shared" si="24"/>
        <v>1852816.4653739615</v>
      </c>
      <c r="AR14" s="22">
        <f t="shared" si="24"/>
        <v>1511334.6260387814</v>
      </c>
      <c r="AS14" s="22">
        <f t="shared" si="24"/>
        <v>861998.09418282565</v>
      </c>
      <c r="AT14" s="22">
        <f t="shared" si="24"/>
        <v>486293.28310249309</v>
      </c>
      <c r="AU14" s="22">
        <f t="shared" si="24"/>
        <v>315774.24930747924</v>
      </c>
      <c r="AW14" s="156"/>
    </row>
    <row r="15" spans="1:62" s="22" customFormat="1">
      <c r="C15" s="156" t="s">
        <v>401</v>
      </c>
      <c r="D15" s="22">
        <f>D24/(1-$B$13)</f>
        <v>251508.77192982458</v>
      </c>
      <c r="E15" s="22">
        <f t="shared" ref="E15:O15" si="25">E24/(1-$B$13)</f>
        <v>261838.59649122809</v>
      </c>
      <c r="F15" s="22">
        <f t="shared" si="25"/>
        <v>279354.3859649123</v>
      </c>
      <c r="G15" s="22">
        <f t="shared" si="25"/>
        <v>302259.64912280708</v>
      </c>
      <c r="H15" s="22">
        <f t="shared" si="25"/>
        <v>368505.26315789478</v>
      </c>
      <c r="I15" s="152">
        <f t="shared" si="25"/>
        <v>472926.31578947371</v>
      </c>
      <c r="J15" s="152">
        <f t="shared" si="25"/>
        <v>497628.07017543865</v>
      </c>
      <c r="K15" s="152">
        <f t="shared" si="25"/>
        <v>403312.28070175444</v>
      </c>
      <c r="L15" s="152">
        <f t="shared" si="25"/>
        <v>360645.6140350877</v>
      </c>
      <c r="M15" s="152">
        <f t="shared" si="25"/>
        <v>338189.47368421056</v>
      </c>
      <c r="N15" s="22">
        <f t="shared" si="25"/>
        <v>265207.01754385966</v>
      </c>
      <c r="O15" s="22">
        <f t="shared" si="25"/>
        <v>274189.47368421056</v>
      </c>
      <c r="P15" s="160">
        <f>SUM(D15:O15)</f>
        <v>4075564.912280702</v>
      </c>
      <c r="Q15" s="22">
        <f>P15-[5]MCFS!$AF$15</f>
        <v>207382.45614035055</v>
      </c>
      <c r="S15" s="156" t="s">
        <v>401</v>
      </c>
      <c r="T15" s="22">
        <f>T24/(1-$R$13)</f>
        <v>252564.21052631582</v>
      </c>
      <c r="U15" s="22">
        <f t="shared" ref="U15:AE15" si="26">U24/(1-$R$13)</f>
        <v>268620.35087719298</v>
      </c>
      <c r="V15" s="22">
        <f t="shared" si="26"/>
        <v>285799.2982456141</v>
      </c>
      <c r="W15" s="22">
        <f t="shared" si="26"/>
        <v>313195.78947368427</v>
      </c>
      <c r="X15" s="22">
        <f t="shared" si="26"/>
        <v>377757.19298245618</v>
      </c>
      <c r="Y15" s="22">
        <f t="shared" si="26"/>
        <v>479932.63157894748</v>
      </c>
      <c r="Z15" s="22">
        <f t="shared" si="26"/>
        <v>504634.3859649123</v>
      </c>
      <c r="AA15" s="22">
        <f>AA24/(1-$R$13)</f>
        <v>412564.21052631584</v>
      </c>
      <c r="AB15" s="22">
        <f t="shared" si="26"/>
        <v>369897.54385964916</v>
      </c>
      <c r="AC15" s="22">
        <f t="shared" si="26"/>
        <v>348564.21052631584</v>
      </c>
      <c r="AD15" s="22">
        <f t="shared" si="26"/>
        <v>275020.35087719298</v>
      </c>
      <c r="AE15" s="22">
        <f t="shared" si="26"/>
        <v>280072.98245614039</v>
      </c>
      <c r="AF15" s="157">
        <f>SUM(T15:AE15)</f>
        <v>4168623.1578947371</v>
      </c>
      <c r="AI15" s="156" t="s">
        <v>401</v>
      </c>
      <c r="AJ15" s="22">
        <f>AJ24/(1-$AH$13)</f>
        <v>265543.85964912287</v>
      </c>
      <c r="AK15" s="22">
        <f t="shared" ref="AK15:AU15" si="27">AK24/(1-$AH$13)</f>
        <v>282385.96491228073</v>
      </c>
      <c r="AL15" s="22">
        <f t="shared" si="27"/>
        <v>288785.96491228073</v>
      </c>
      <c r="AM15" s="22">
        <f t="shared" si="27"/>
        <v>327522.80701754388</v>
      </c>
      <c r="AN15" s="22">
        <f t="shared" si="27"/>
        <v>388715.78947368421</v>
      </c>
      <c r="AO15" s="22">
        <f t="shared" si="27"/>
        <v>499873.68421052635</v>
      </c>
      <c r="AP15" s="22">
        <f t="shared" si="27"/>
        <v>523452.63157894742</v>
      </c>
      <c r="AQ15" s="22">
        <f t="shared" si="27"/>
        <v>419031.57894736843</v>
      </c>
      <c r="AR15" s="22">
        <f t="shared" si="27"/>
        <v>379733.33333333337</v>
      </c>
      <c r="AS15" s="22">
        <f t="shared" si="27"/>
        <v>359522.80701754388</v>
      </c>
      <c r="AT15" s="22">
        <f t="shared" si="27"/>
        <v>289347.36842105264</v>
      </c>
      <c r="AU15" s="22">
        <f t="shared" si="27"/>
        <v>288785.96491228073</v>
      </c>
      <c r="AV15" s="157">
        <f>SUM(AJ15:AU15)</f>
        <v>4312701.7543859649</v>
      </c>
      <c r="AW15" s="156"/>
      <c r="BJ15" s="157"/>
    </row>
    <row r="16" spans="1:62" s="22" customFormat="1">
      <c r="A16" s="143">
        <f>A25/(1-$B$13)</f>
        <v>8505.2631578947367</v>
      </c>
      <c r="B16" s="143">
        <f>B25/(1-$B$13)</f>
        <v>239.15789473684214</v>
      </c>
      <c r="C16" s="156" t="s">
        <v>638</v>
      </c>
      <c r="D16" s="22">
        <f>D15</f>
        <v>251508.77192982458</v>
      </c>
      <c r="E16" s="22">
        <f>D16+E15</f>
        <v>513347.3684210527</v>
      </c>
      <c r="F16" s="22">
        <f t="shared" ref="F16:O16" si="28">E16+F15</f>
        <v>792701.75438596494</v>
      </c>
      <c r="G16" s="22">
        <f t="shared" si="28"/>
        <v>1094961.4035087721</v>
      </c>
      <c r="H16" s="22">
        <f t="shared" si="28"/>
        <v>1463466.666666667</v>
      </c>
      <c r="I16" s="152">
        <f t="shared" si="28"/>
        <v>1936392.9824561407</v>
      </c>
      <c r="J16" s="152">
        <f t="shared" si="28"/>
        <v>2434021.0526315793</v>
      </c>
      <c r="K16" s="152">
        <f t="shared" si="28"/>
        <v>2837333.333333334</v>
      </c>
      <c r="L16" s="152">
        <f t="shared" si="28"/>
        <v>3197978.9473684216</v>
      </c>
      <c r="M16" s="152">
        <f t="shared" si="28"/>
        <v>3536168.4210526319</v>
      </c>
      <c r="N16" s="22">
        <f t="shared" si="28"/>
        <v>3801375.4385964917</v>
      </c>
      <c r="O16" s="22">
        <f t="shared" si="28"/>
        <v>4075564.912280702</v>
      </c>
      <c r="S16" s="156" t="s">
        <v>638</v>
      </c>
      <c r="T16" s="22">
        <f>T15</f>
        <v>252564.21052631582</v>
      </c>
      <c r="U16" s="22">
        <f t="shared" ref="U16:AE16" si="29">U15</f>
        <v>268620.35087719298</v>
      </c>
      <c r="V16" s="22">
        <f t="shared" si="29"/>
        <v>285799.2982456141</v>
      </c>
      <c r="W16" s="22">
        <f t="shared" si="29"/>
        <v>313195.78947368427</v>
      </c>
      <c r="X16" s="22">
        <f t="shared" si="29"/>
        <v>377757.19298245618</v>
      </c>
      <c r="Y16" s="22">
        <f t="shared" si="29"/>
        <v>479932.63157894748</v>
      </c>
      <c r="Z16" s="22">
        <f t="shared" si="29"/>
        <v>504634.3859649123</v>
      </c>
      <c r="AA16" s="22">
        <f t="shared" si="29"/>
        <v>412564.21052631584</v>
      </c>
      <c r="AB16" s="22">
        <f t="shared" si="29"/>
        <v>369897.54385964916</v>
      </c>
      <c r="AC16" s="22">
        <f t="shared" si="29"/>
        <v>348564.21052631584</v>
      </c>
      <c r="AD16" s="22">
        <f t="shared" si="29"/>
        <v>275020.35087719298</v>
      </c>
      <c r="AE16" s="22">
        <f t="shared" si="29"/>
        <v>280072.98245614039</v>
      </c>
      <c r="AI16" s="156" t="s">
        <v>638</v>
      </c>
      <c r="AJ16" s="22">
        <f>AJ15</f>
        <v>265543.85964912287</v>
      </c>
      <c r="AK16" s="22">
        <f t="shared" ref="AK16:AU16" si="30">AK15</f>
        <v>282385.96491228073</v>
      </c>
      <c r="AL16" s="22">
        <f t="shared" si="30"/>
        <v>288785.96491228073</v>
      </c>
      <c r="AM16" s="22">
        <f t="shared" si="30"/>
        <v>327522.80701754388</v>
      </c>
      <c r="AN16" s="22">
        <f t="shared" si="30"/>
        <v>388715.78947368421</v>
      </c>
      <c r="AO16" s="22">
        <f t="shared" si="30"/>
        <v>499873.68421052635</v>
      </c>
      <c r="AP16" s="22">
        <f t="shared" si="30"/>
        <v>523452.63157894742</v>
      </c>
      <c r="AQ16" s="22">
        <f t="shared" si="30"/>
        <v>419031.57894736843</v>
      </c>
      <c r="AR16" s="22">
        <f t="shared" si="30"/>
        <v>379733.33333333337</v>
      </c>
      <c r="AS16" s="22">
        <f t="shared" si="30"/>
        <v>359522.80701754388</v>
      </c>
      <c r="AT16" s="22">
        <f t="shared" si="30"/>
        <v>289347.36842105264</v>
      </c>
      <c r="AU16" s="22">
        <f t="shared" si="30"/>
        <v>288785.96491228073</v>
      </c>
      <c r="AW16" s="156"/>
    </row>
    <row r="17" spans="1:62" s="22" customFormat="1">
      <c r="C17" s="22" t="s">
        <v>412</v>
      </c>
      <c r="D17" s="22">
        <f>SUM(D13,D15)</f>
        <v>557619.08771929832</v>
      </c>
      <c r="E17" s="22">
        <f t="shared" ref="E17:O17" si="31">SUM(E13,E15)</f>
        <v>567948.9122807018</v>
      </c>
      <c r="F17" s="22">
        <f t="shared" si="31"/>
        <v>634495.42973222537</v>
      </c>
      <c r="G17" s="22">
        <f t="shared" si="31"/>
        <v>1070549.652446907</v>
      </c>
      <c r="H17" s="22">
        <f t="shared" si="31"/>
        <v>1666130.375623269</v>
      </c>
      <c r="I17" s="152">
        <f t="shared" si="31"/>
        <v>2466898.7257617731</v>
      </c>
      <c r="J17" s="152">
        <f t="shared" si="31"/>
        <v>2697768.8701754389</v>
      </c>
      <c r="K17" s="152">
        <f t="shared" si="31"/>
        <v>2256647.3632502314</v>
      </c>
      <c r="L17" s="163">
        <f t="shared" si="31"/>
        <v>1833533.0821791322</v>
      </c>
      <c r="M17" s="152">
        <f t="shared" si="31"/>
        <v>1178166.072022161</v>
      </c>
      <c r="N17" s="22">
        <f t="shared" si="31"/>
        <v>738970.74939981545</v>
      </c>
      <c r="O17" s="22">
        <f t="shared" si="31"/>
        <v>581753.19667590037</v>
      </c>
      <c r="P17" s="160">
        <f>SUM(D17:O17)</f>
        <v>16250481.517266855</v>
      </c>
      <c r="Q17" s="22">
        <f>P17-[5]MCFS!$AF$17</f>
        <v>-441631.78744008951</v>
      </c>
      <c r="S17" s="22" t="s">
        <v>412</v>
      </c>
      <c r="T17" s="22">
        <f>SUM(T13,T15)</f>
        <v>562425.44044321333</v>
      </c>
      <c r="U17" s="22">
        <f t="shared" ref="U17:AE17" si="32">SUM(U13,U15)</f>
        <v>578481.58079409052</v>
      </c>
      <c r="V17" s="22">
        <f t="shared" si="32"/>
        <v>645257.86888273316</v>
      </c>
      <c r="W17" s="22">
        <f t="shared" si="32"/>
        <v>1090631.8005540171</v>
      </c>
      <c r="X17" s="22">
        <f t="shared" si="32"/>
        <v>1690701.5918744232</v>
      </c>
      <c r="Y17" s="22">
        <f t="shared" si="32"/>
        <v>2497358.6260387814</v>
      </c>
      <c r="Z17" s="22">
        <f t="shared" si="32"/>
        <v>2730635.405355494</v>
      </c>
      <c r="AA17" s="22">
        <f>SUM(AA13,AA15)</f>
        <v>2239561.3074792246</v>
      </c>
      <c r="AB17" s="22">
        <f t="shared" si="32"/>
        <v>1860155.8928901206</v>
      </c>
      <c r="AC17" s="22">
        <f t="shared" si="32"/>
        <v>1198517.8947368423</v>
      </c>
      <c r="AD17" s="22">
        <f t="shared" si="32"/>
        <v>754492.04062788561</v>
      </c>
      <c r="AE17" s="22">
        <f t="shared" si="32"/>
        <v>591398.85503231781</v>
      </c>
      <c r="AF17" s="157">
        <f>SUM(T17:AE17)</f>
        <v>16439618.304709144</v>
      </c>
      <c r="AI17" s="22" t="s">
        <v>412</v>
      </c>
      <c r="AJ17" s="22">
        <f>SUM(AJ13,AJ15)</f>
        <v>579834.74053554959</v>
      </c>
      <c r="AK17" s="22">
        <f t="shared" ref="AK17:AU17" si="33">SUM(AK13,AK15)</f>
        <v>596676.84579870733</v>
      </c>
      <c r="AL17" s="22">
        <f t="shared" si="33"/>
        <v>653371.70674053556</v>
      </c>
      <c r="AM17" s="22">
        <f t="shared" si="33"/>
        <v>1115982.4723915053</v>
      </c>
      <c r="AN17" s="22">
        <f t="shared" si="33"/>
        <v>1720233.9545706373</v>
      </c>
      <c r="AO17" s="22">
        <f t="shared" si="33"/>
        <v>2545810.3711911361</v>
      </c>
      <c r="AP17" s="22">
        <f t="shared" si="33"/>
        <v>2780905.7861495852</v>
      </c>
      <c r="AQ17" s="22">
        <f t="shared" si="33"/>
        <v>2271848.0443213298</v>
      </c>
      <c r="AR17" s="22">
        <f t="shared" si="33"/>
        <v>1891067.9593721149</v>
      </c>
      <c r="AS17" s="22">
        <f t="shared" si="33"/>
        <v>1221520.9012003695</v>
      </c>
      <c r="AT17" s="22">
        <f t="shared" si="33"/>
        <v>775640.65152354573</v>
      </c>
      <c r="AU17" s="22">
        <f t="shared" si="33"/>
        <v>604560.21421975992</v>
      </c>
      <c r="AV17" s="157">
        <f>SUM(AJ17:AU17)</f>
        <v>16757453.648014776</v>
      </c>
      <c r="BJ17" s="157"/>
    </row>
    <row r="18" spans="1:62" s="22" customFormat="1">
      <c r="A18" s="143">
        <f>A14+A16</f>
        <v>18379.789473684214</v>
      </c>
      <c r="B18" s="143">
        <f>B14+B16</f>
        <v>2904.5540166204987</v>
      </c>
      <c r="C18" s="22" t="s">
        <v>639</v>
      </c>
      <c r="D18" s="22">
        <f>D17</f>
        <v>557619.08771929832</v>
      </c>
      <c r="E18" s="22">
        <f>D18+E17</f>
        <v>1125568</v>
      </c>
      <c r="F18" s="22">
        <f t="shared" ref="F18:O18" si="34">E18+F17</f>
        <v>1760063.4297322254</v>
      </c>
      <c r="G18" s="22">
        <f t="shared" si="34"/>
        <v>2830613.0821791324</v>
      </c>
      <c r="H18" s="22">
        <f t="shared" si="34"/>
        <v>4496743.4578024019</v>
      </c>
      <c r="I18" s="152">
        <f t="shared" si="34"/>
        <v>6963642.1835641749</v>
      </c>
      <c r="J18" s="152">
        <f t="shared" si="34"/>
        <v>9661411.0537396148</v>
      </c>
      <c r="K18" s="152">
        <f t="shared" si="34"/>
        <v>11918058.416989846</v>
      </c>
      <c r="L18" s="152">
        <f t="shared" si="34"/>
        <v>13751591.499168979</v>
      </c>
      <c r="M18" s="152">
        <f t="shared" si="34"/>
        <v>14929757.57119114</v>
      </c>
      <c r="N18" s="22">
        <f t="shared" si="34"/>
        <v>15668728.320590954</v>
      </c>
      <c r="O18" s="22">
        <f t="shared" si="34"/>
        <v>16250481.517266855</v>
      </c>
      <c r="S18" s="22" t="s">
        <v>639</v>
      </c>
      <c r="T18" s="22">
        <f>T17</f>
        <v>562425.44044321333</v>
      </c>
      <c r="U18" s="22">
        <f>T18+U17</f>
        <v>1140907.021237304</v>
      </c>
      <c r="V18" s="22">
        <f t="shared" ref="V18:AE18" si="35">U18+V17</f>
        <v>1786164.8901200371</v>
      </c>
      <c r="W18" s="22">
        <f t="shared" si="35"/>
        <v>2876796.6906740544</v>
      </c>
      <c r="X18" s="22">
        <f t="shared" si="35"/>
        <v>4567498.2825484779</v>
      </c>
      <c r="Y18" s="22">
        <f t="shared" si="35"/>
        <v>7064856.9085872592</v>
      </c>
      <c r="Z18" s="22">
        <f t="shared" si="35"/>
        <v>9795492.3139427528</v>
      </c>
      <c r="AA18" s="22">
        <f t="shared" si="35"/>
        <v>12035053.621421978</v>
      </c>
      <c r="AB18" s="22">
        <f t="shared" si="35"/>
        <v>13895209.514312098</v>
      </c>
      <c r="AC18" s="22">
        <f t="shared" si="35"/>
        <v>15093727.409048941</v>
      </c>
      <c r="AD18" s="22">
        <f t="shared" si="35"/>
        <v>15848219.449676827</v>
      </c>
      <c r="AE18" s="22">
        <f t="shared" si="35"/>
        <v>16439618.304709144</v>
      </c>
      <c r="AI18" s="22" t="s">
        <v>639</v>
      </c>
      <c r="AJ18" s="22">
        <f>AJ17</f>
        <v>579834.74053554959</v>
      </c>
      <c r="AK18" s="22">
        <f>AJ18+AK17</f>
        <v>1176511.5863342569</v>
      </c>
      <c r="AL18" s="22">
        <f t="shared" ref="AL18:AU18" si="36">AK18+AL17</f>
        <v>1829883.2930747925</v>
      </c>
      <c r="AM18" s="22">
        <f t="shared" si="36"/>
        <v>2945865.765466298</v>
      </c>
      <c r="AN18" s="22">
        <f t="shared" si="36"/>
        <v>4666099.7200369351</v>
      </c>
      <c r="AO18" s="22">
        <f t="shared" si="36"/>
        <v>7211910.0912280716</v>
      </c>
      <c r="AP18" s="22">
        <f t="shared" si="36"/>
        <v>9992815.8773776572</v>
      </c>
      <c r="AQ18" s="22">
        <f t="shared" si="36"/>
        <v>12264663.921698987</v>
      </c>
      <c r="AR18" s="22">
        <f t="shared" si="36"/>
        <v>14155731.881071102</v>
      </c>
      <c r="AS18" s="22">
        <f t="shared" si="36"/>
        <v>15377252.782271471</v>
      </c>
      <c r="AT18" s="22">
        <f t="shared" si="36"/>
        <v>16152893.433795016</v>
      </c>
      <c r="AU18" s="22">
        <f t="shared" si="36"/>
        <v>16757453.648014776</v>
      </c>
    </row>
    <row r="19" spans="1:62" s="28" customFormat="1">
      <c r="A19" s="131"/>
      <c r="B19" s="131"/>
      <c r="I19" s="163"/>
      <c r="J19" s="163"/>
      <c r="K19" s="163"/>
      <c r="L19" s="163"/>
      <c r="M19" s="163"/>
      <c r="P19" s="129"/>
    </row>
    <row r="20" spans="1:62">
      <c r="B20" s="175"/>
      <c r="C20" s="296" t="s">
        <v>736</v>
      </c>
      <c r="D20" s="305">
        <v>1.04</v>
      </c>
      <c r="E20" s="305">
        <v>1.04</v>
      </c>
      <c r="F20" s="305">
        <v>1.04</v>
      </c>
      <c r="G20" s="305">
        <v>1.04</v>
      </c>
      <c r="H20" s="305">
        <v>1.04</v>
      </c>
      <c r="I20" s="317">
        <v>1.04</v>
      </c>
      <c r="J20" s="317">
        <v>1.04</v>
      </c>
      <c r="K20" s="317">
        <v>1.04</v>
      </c>
      <c r="L20" s="317">
        <v>1.04</v>
      </c>
      <c r="M20" s="317">
        <v>1.04</v>
      </c>
      <c r="N20" s="305">
        <v>1.04</v>
      </c>
      <c r="O20" s="305">
        <v>1.04</v>
      </c>
      <c r="P20" s="154"/>
      <c r="Y20" s="124"/>
      <c r="Z20" s="124"/>
      <c r="AA20" s="124"/>
      <c r="AB20" s="124"/>
      <c r="AC20" s="124"/>
      <c r="AF20" s="154">
        <f>1326000</f>
        <v>1326000</v>
      </c>
      <c r="AG20" s="10">
        <f>AF20/AF24</f>
        <v>0.33483225055754873</v>
      </c>
      <c r="AO20" s="124"/>
      <c r="AP20" s="124"/>
      <c r="AQ20" s="124"/>
      <c r="AR20" s="124"/>
      <c r="AS20" s="124"/>
      <c r="AV20" s="154"/>
      <c r="BC20" s="124"/>
      <c r="BD20" s="124"/>
      <c r="BE20" s="124"/>
      <c r="BF20" s="124"/>
      <c r="BG20" s="124"/>
      <c r="BJ20" s="154"/>
    </row>
    <row r="21" spans="1:62">
      <c r="A21" s="11" t="s">
        <v>81</v>
      </c>
      <c r="B21" s="11" t="s">
        <v>82</v>
      </c>
      <c r="C21" s="11" t="s">
        <v>79</v>
      </c>
      <c r="D21" s="149">
        <v>40725</v>
      </c>
      <c r="E21" s="149">
        <v>40756</v>
      </c>
      <c r="F21" s="149">
        <v>40787</v>
      </c>
      <c r="G21" s="149">
        <v>40817</v>
      </c>
      <c r="H21" s="149">
        <v>40848</v>
      </c>
      <c r="I21" s="149">
        <v>40878</v>
      </c>
      <c r="J21" s="149">
        <v>40909</v>
      </c>
      <c r="K21" s="149">
        <v>40940</v>
      </c>
      <c r="L21" s="149">
        <v>40969</v>
      </c>
      <c r="M21" s="149">
        <v>41000</v>
      </c>
      <c r="N21" s="149">
        <v>41030</v>
      </c>
      <c r="O21" s="149">
        <v>41061</v>
      </c>
      <c r="P21" s="11" t="s">
        <v>857</v>
      </c>
      <c r="Q21" s="11" t="s">
        <v>81</v>
      </c>
      <c r="R21" s="11" t="s">
        <v>82</v>
      </c>
      <c r="S21" s="11" t="s">
        <v>79</v>
      </c>
      <c r="T21" s="149">
        <v>41091</v>
      </c>
      <c r="U21" s="149">
        <v>41122</v>
      </c>
      <c r="V21" s="149">
        <v>41153</v>
      </c>
      <c r="W21" s="149">
        <v>41183</v>
      </c>
      <c r="X21" s="149">
        <v>41214</v>
      </c>
      <c r="Y21" s="149">
        <v>41244</v>
      </c>
      <c r="Z21" s="149">
        <v>41275</v>
      </c>
      <c r="AA21" s="149">
        <v>41306</v>
      </c>
      <c r="AB21" s="149">
        <v>41334</v>
      </c>
      <c r="AC21" s="149">
        <v>41365</v>
      </c>
      <c r="AD21" s="149">
        <v>41395</v>
      </c>
      <c r="AE21" s="149">
        <v>41426</v>
      </c>
      <c r="AF21" s="11" t="s">
        <v>878</v>
      </c>
      <c r="AG21" s="11" t="s">
        <v>81</v>
      </c>
      <c r="AH21" s="11" t="s">
        <v>82</v>
      </c>
      <c r="AI21" s="11" t="s">
        <v>79</v>
      </c>
      <c r="AJ21" s="149">
        <v>41456</v>
      </c>
      <c r="AK21" s="149">
        <v>41487</v>
      </c>
      <c r="AL21" s="149">
        <v>41518</v>
      </c>
      <c r="AM21" s="149">
        <v>41548</v>
      </c>
      <c r="AN21" s="149">
        <v>41579</v>
      </c>
      <c r="AO21" s="149">
        <v>41609</v>
      </c>
      <c r="AP21" s="149">
        <v>41640</v>
      </c>
      <c r="AQ21" s="149">
        <v>41671</v>
      </c>
      <c r="AR21" s="149">
        <v>41699</v>
      </c>
      <c r="AS21" s="149">
        <v>41730</v>
      </c>
      <c r="AT21" s="149">
        <v>41760</v>
      </c>
      <c r="AU21" s="149">
        <v>41791</v>
      </c>
      <c r="AV21" s="11" t="s">
        <v>906</v>
      </c>
      <c r="AW21" s="11"/>
      <c r="AX21" s="149"/>
      <c r="AY21" s="149"/>
      <c r="AZ21" s="149"/>
      <c r="BA21" s="149"/>
      <c r="BB21" s="149"/>
      <c r="BC21" s="149"/>
      <c r="BD21" s="149"/>
      <c r="BE21" s="149"/>
      <c r="BF21" s="149"/>
      <c r="BG21" s="149"/>
      <c r="BH21" s="149"/>
      <c r="BI21" s="149"/>
      <c r="BJ21" s="11"/>
    </row>
    <row r="22" spans="1:62">
      <c r="A22" s="133">
        <v>1.04</v>
      </c>
      <c r="B22" s="155">
        <v>0.05</v>
      </c>
      <c r="C22" s="10" t="s">
        <v>403</v>
      </c>
      <c r="D22" s="158">
        <f t="shared" ref="D22:L22" si="37">D52*D20/(1-$B$22)</f>
        <v>290804.8</v>
      </c>
      <c r="E22" s="158">
        <f t="shared" si="37"/>
        <v>290804.8</v>
      </c>
      <c r="F22" s="158">
        <f t="shared" si="37"/>
        <v>337383.9915789474</v>
      </c>
      <c r="G22" s="158">
        <f t="shared" si="37"/>
        <v>729875.50315789483</v>
      </c>
      <c r="H22" s="158">
        <f t="shared" si="37"/>
        <v>1232743.8568421055</v>
      </c>
      <c r="I22" s="158">
        <f t="shared" si="37"/>
        <v>1894273.7894736845</v>
      </c>
      <c r="J22" s="158">
        <f t="shared" si="37"/>
        <v>2090133.7600000002</v>
      </c>
      <c r="K22" s="158">
        <f t="shared" si="37"/>
        <v>1760668.3284210528</v>
      </c>
      <c r="L22" s="158">
        <f t="shared" si="37"/>
        <v>1399243.0947368422</v>
      </c>
      <c r="M22" s="158">
        <f>M52*$A$22/(1-$B$22)</f>
        <v>797977.76842105272</v>
      </c>
      <c r="N22" s="158">
        <f>N52*$A$22/(1-$B$22)</f>
        <v>450075.54526315798</v>
      </c>
      <c r="O22" s="158">
        <f>O52*$A$22/(1-$B$22)</f>
        <v>292185.53684210527</v>
      </c>
      <c r="P22" s="143">
        <f>SUM(D22:O22)</f>
        <v>11566170.774736844</v>
      </c>
      <c r="Q22" s="133">
        <v>1.04</v>
      </c>
      <c r="R22" s="155">
        <v>0.05</v>
      </c>
      <c r="S22" s="10" t="s">
        <v>403</v>
      </c>
      <c r="T22" s="158">
        <f>T52*$A$22/(1-$R$22)</f>
        <v>294368.16842105263</v>
      </c>
      <c r="U22" s="158">
        <f>U52*$A$22/(1-$R$22)</f>
        <v>294368.16842105263</v>
      </c>
      <c r="V22" s="158">
        <f t="shared" ref="V22:AE22" si="38">V52*$A$22/(1-$R$22)</f>
        <v>341485.64210526313</v>
      </c>
      <c r="W22" s="158">
        <f t="shared" si="38"/>
        <v>738564.21052631596</v>
      </c>
      <c r="X22" s="158">
        <f t="shared" si="38"/>
        <v>1247297.1789473686</v>
      </c>
      <c r="Y22" s="158">
        <f t="shared" si="38"/>
        <v>1916554.6947368421</v>
      </c>
      <c r="Z22" s="158">
        <f t="shared" si="38"/>
        <v>2114700.9684210527</v>
      </c>
      <c r="AA22" s="158">
        <f t="shared" si="38"/>
        <v>1735647.2421052633</v>
      </c>
      <c r="AB22" s="158">
        <f t="shared" si="38"/>
        <v>1415745.4315789477</v>
      </c>
      <c r="AC22" s="158">
        <f t="shared" si="38"/>
        <v>807456.00000000012</v>
      </c>
      <c r="AD22" s="158">
        <f t="shared" si="38"/>
        <v>455498.10526315792</v>
      </c>
      <c r="AE22" s="158">
        <f t="shared" si="38"/>
        <v>295759.57894736849</v>
      </c>
      <c r="AF22" s="143">
        <f>SUM(T22:AE22)</f>
        <v>11657445.389473686</v>
      </c>
      <c r="AG22" s="133">
        <v>1.04</v>
      </c>
      <c r="AH22" s="155">
        <v>0.05</v>
      </c>
      <c r="AI22" s="10" t="s">
        <v>403</v>
      </c>
      <c r="AJ22" s="158">
        <f>AJ52*$A$22/(1-$AH$22)</f>
        <v>298576.33684210532</v>
      </c>
      <c r="AK22" s="158">
        <f t="shared" ref="AK22:AU22" si="39">AK52*$A$22/(1-$AH$22)</f>
        <v>298576.33684210532</v>
      </c>
      <c r="AL22" s="158">
        <f t="shared" si="39"/>
        <v>346356.45473684208</v>
      </c>
      <c r="AM22" s="158">
        <f t="shared" si="39"/>
        <v>749036.68210526323</v>
      </c>
      <c r="AN22" s="158">
        <f t="shared" si="39"/>
        <v>1264942.2568421054</v>
      </c>
      <c r="AO22" s="158">
        <f t="shared" si="39"/>
        <v>1943639.8526315792</v>
      </c>
      <c r="AP22" s="158">
        <f t="shared" si="39"/>
        <v>2144580.4968421059</v>
      </c>
      <c r="AQ22" s="158">
        <f t="shared" si="39"/>
        <v>1760175.6421052634</v>
      </c>
      <c r="AR22" s="158">
        <f t="shared" si="39"/>
        <v>1435767.8947368423</v>
      </c>
      <c r="AS22" s="158">
        <f t="shared" si="39"/>
        <v>818898.1894736843</v>
      </c>
      <c r="AT22" s="158">
        <f t="shared" si="39"/>
        <v>461978.61894736841</v>
      </c>
      <c r="AU22" s="158">
        <f t="shared" si="39"/>
        <v>299985.53684210527</v>
      </c>
      <c r="AV22" s="143">
        <f>SUM(AJ22:AU22)</f>
        <v>11822514.29894737</v>
      </c>
      <c r="AX22" s="158"/>
      <c r="AY22" s="158"/>
      <c r="AZ22" s="158"/>
      <c r="BA22" s="158"/>
      <c r="BB22" s="158"/>
      <c r="BC22" s="158"/>
      <c r="BD22" s="158"/>
      <c r="BE22" s="158"/>
      <c r="BF22" s="158"/>
      <c r="BG22" s="158"/>
      <c r="BH22" s="158"/>
      <c r="BI22" s="158"/>
      <c r="BJ22" s="143"/>
    </row>
    <row r="23" spans="1:62">
      <c r="A23" s="143">
        <f>(A52*$A$22)/(1-$B$22)</f>
        <v>9380.8000000000011</v>
      </c>
      <c r="B23" s="143">
        <f>(B52*$A$22)/(1-$B$22)</f>
        <v>2532.1263157894737</v>
      </c>
      <c r="C23" s="10" t="s">
        <v>640</v>
      </c>
      <c r="D23" s="158">
        <f>D22</f>
        <v>290804.8</v>
      </c>
      <c r="E23" s="158">
        <f>D23+E22</f>
        <v>581609.6</v>
      </c>
      <c r="F23" s="158">
        <f t="shared" ref="F23:O23" si="40">E23+F22</f>
        <v>918993.59157894738</v>
      </c>
      <c r="G23" s="158">
        <f t="shared" si="40"/>
        <v>1648869.0947368422</v>
      </c>
      <c r="H23" s="158">
        <f t="shared" si="40"/>
        <v>2881612.9515789477</v>
      </c>
      <c r="I23" s="158">
        <f t="shared" si="40"/>
        <v>4775886.7410526322</v>
      </c>
      <c r="J23" s="158">
        <f t="shared" si="40"/>
        <v>6866020.5010526329</v>
      </c>
      <c r="K23" s="158">
        <f t="shared" si="40"/>
        <v>8626688.8294736855</v>
      </c>
      <c r="L23" s="158">
        <f t="shared" si="40"/>
        <v>10025931.924210528</v>
      </c>
      <c r="M23" s="158">
        <f t="shared" si="40"/>
        <v>10823909.69263158</v>
      </c>
      <c r="N23" s="158">
        <f t="shared" si="40"/>
        <v>11273985.237894738</v>
      </c>
      <c r="O23" s="158">
        <f t="shared" si="40"/>
        <v>11566170.774736844</v>
      </c>
      <c r="P23" s="28"/>
      <c r="Q23" s="143">
        <f>(Q52*$Q$22)/(1-$R$22)</f>
        <v>9495.7473684210545</v>
      </c>
      <c r="R23" s="143">
        <f>(R52*$Q$22)/(1-$R$22)</f>
        <v>2561.6842105263158</v>
      </c>
      <c r="S23" s="10" t="s">
        <v>640</v>
      </c>
      <c r="T23" s="158">
        <f>T22</f>
        <v>294368.16842105263</v>
      </c>
      <c r="U23" s="158">
        <f>T23+U22</f>
        <v>588736.33684210526</v>
      </c>
      <c r="V23" s="158">
        <f t="shared" ref="V23:AE23" si="41">U23+V22</f>
        <v>930221.97894736845</v>
      </c>
      <c r="W23" s="158">
        <f t="shared" si="41"/>
        <v>1668786.1894736844</v>
      </c>
      <c r="X23" s="158">
        <f t="shared" si="41"/>
        <v>2916083.368421053</v>
      </c>
      <c r="Y23" s="158">
        <f t="shared" si="41"/>
        <v>4832638.0631578956</v>
      </c>
      <c r="Z23" s="158">
        <f t="shared" si="41"/>
        <v>6947339.0315789487</v>
      </c>
      <c r="AA23" s="158">
        <f t="shared" si="41"/>
        <v>8682986.2736842111</v>
      </c>
      <c r="AB23" s="158">
        <f t="shared" si="41"/>
        <v>10098731.705263158</v>
      </c>
      <c r="AC23" s="158">
        <f t="shared" si="41"/>
        <v>10906187.705263158</v>
      </c>
      <c r="AD23" s="158">
        <f t="shared" si="41"/>
        <v>11361685.810526317</v>
      </c>
      <c r="AE23" s="158">
        <f t="shared" si="41"/>
        <v>11657445.389473686</v>
      </c>
      <c r="AF23" s="59"/>
      <c r="AG23" s="143">
        <f>(AG52*$AG$22)/(1-$AH$22)</f>
        <v>9631.4947368421053</v>
      </c>
      <c r="AH23" s="143">
        <f>(AH52*$AG$22)/(1-$AH$22)</f>
        <v>2597.8105263157895</v>
      </c>
      <c r="AI23" s="10" t="s">
        <v>640</v>
      </c>
      <c r="AJ23" s="158">
        <f>AJ22</f>
        <v>298576.33684210532</v>
      </c>
      <c r="AK23" s="158">
        <f>AJ23+AK22</f>
        <v>597152.67368421063</v>
      </c>
      <c r="AL23" s="158">
        <f t="shared" ref="AL23:AU23" si="42">AK23+AL22</f>
        <v>943509.12842105271</v>
      </c>
      <c r="AM23" s="158">
        <f t="shared" si="42"/>
        <v>1692545.8105263161</v>
      </c>
      <c r="AN23" s="158">
        <f t="shared" si="42"/>
        <v>2957488.0673684217</v>
      </c>
      <c r="AO23" s="158">
        <f t="shared" si="42"/>
        <v>4901127.9200000009</v>
      </c>
      <c r="AP23" s="158">
        <f t="shared" si="42"/>
        <v>7045708.4168421067</v>
      </c>
      <c r="AQ23" s="158">
        <f t="shared" si="42"/>
        <v>8805884.0589473695</v>
      </c>
      <c r="AR23" s="158">
        <f t="shared" si="42"/>
        <v>10241651.953684211</v>
      </c>
      <c r="AS23" s="158">
        <f t="shared" si="42"/>
        <v>11060550.143157896</v>
      </c>
      <c r="AT23" s="158">
        <f t="shared" si="42"/>
        <v>11522528.762105264</v>
      </c>
      <c r="AU23" s="158">
        <f t="shared" si="42"/>
        <v>11822514.29894737</v>
      </c>
      <c r="AV23" s="59"/>
      <c r="AX23" s="158"/>
      <c r="AY23" s="158"/>
      <c r="AZ23" s="158"/>
      <c r="BA23" s="158"/>
      <c r="BB23" s="158"/>
      <c r="BC23" s="158"/>
      <c r="BD23" s="158"/>
      <c r="BE23" s="158"/>
      <c r="BF23" s="158"/>
      <c r="BG23" s="158"/>
      <c r="BH23" s="158"/>
      <c r="BI23" s="158"/>
      <c r="BJ23" s="59"/>
    </row>
    <row r="24" spans="1:62">
      <c r="B24" s="155">
        <v>2.5000000000000001E-2</v>
      </c>
      <c r="C24" s="10" t="s">
        <v>404</v>
      </c>
      <c r="D24" s="158">
        <f>D64*$A$22/(1-$B$24)</f>
        <v>238933.33333333334</v>
      </c>
      <c r="E24" s="158">
        <f t="shared" ref="E24:O24" si="43">E64*$A$22/(1-$B$24)</f>
        <v>248746.66666666669</v>
      </c>
      <c r="F24" s="158">
        <f t="shared" si="43"/>
        <v>265386.66666666669</v>
      </c>
      <c r="G24" s="158">
        <f t="shared" si="43"/>
        <v>287146.66666666669</v>
      </c>
      <c r="H24" s="158">
        <f t="shared" si="43"/>
        <v>350080</v>
      </c>
      <c r="I24" s="158">
        <f t="shared" si="43"/>
        <v>449280</v>
      </c>
      <c r="J24" s="158">
        <f t="shared" si="43"/>
        <v>472746.66666666669</v>
      </c>
      <c r="K24" s="158">
        <f t="shared" si="43"/>
        <v>383146.66666666669</v>
      </c>
      <c r="L24" s="158">
        <f t="shared" si="43"/>
        <v>342613.33333333331</v>
      </c>
      <c r="M24" s="158">
        <f t="shared" si="43"/>
        <v>321280</v>
      </c>
      <c r="N24" s="158">
        <f t="shared" si="43"/>
        <v>251946.66666666669</v>
      </c>
      <c r="O24" s="158">
        <f t="shared" si="43"/>
        <v>260480</v>
      </c>
      <c r="P24" s="143">
        <f>SUM(D24:O24)</f>
        <v>3871786.6666666665</v>
      </c>
      <c r="R24" s="155">
        <v>2.5000000000000001E-2</v>
      </c>
      <c r="S24" s="10" t="s">
        <v>404</v>
      </c>
      <c r="T24" s="158">
        <f>T64*$Q$22/(1-$R$24)</f>
        <v>239936</v>
      </c>
      <c r="U24" s="158">
        <f>U64*$Q$22/(1-$R$24)</f>
        <v>255189.33333333334</v>
      </c>
      <c r="V24" s="158">
        <f t="shared" ref="V24:AE24" si="44">V64*$Q$22/(1-$R$24)</f>
        <v>271509.33333333337</v>
      </c>
      <c r="W24" s="158">
        <f t="shared" si="44"/>
        <v>297536.00000000006</v>
      </c>
      <c r="X24" s="158">
        <f t="shared" si="44"/>
        <v>358869.33333333337</v>
      </c>
      <c r="Y24" s="158">
        <f t="shared" si="44"/>
        <v>455936.00000000006</v>
      </c>
      <c r="Z24" s="158">
        <f t="shared" si="44"/>
        <v>479402.66666666669</v>
      </c>
      <c r="AA24" s="158">
        <f t="shared" si="44"/>
        <v>391936.00000000006</v>
      </c>
      <c r="AB24" s="158">
        <f t="shared" si="44"/>
        <v>351402.66666666669</v>
      </c>
      <c r="AC24" s="158">
        <f t="shared" si="44"/>
        <v>331136.00000000006</v>
      </c>
      <c r="AD24" s="158">
        <f t="shared" si="44"/>
        <v>261269.33333333334</v>
      </c>
      <c r="AE24" s="158">
        <f t="shared" si="44"/>
        <v>266069.33333333337</v>
      </c>
      <c r="AF24" s="407">
        <f>SUM(T24:AE24)</f>
        <v>3960192</v>
      </c>
      <c r="AH24" s="155">
        <v>2.5000000000000001E-2</v>
      </c>
      <c r="AI24" s="10" t="s">
        <v>404</v>
      </c>
      <c r="AJ24" s="158">
        <f>AJ64*$AG$22/(1-$AH$24)</f>
        <v>252266.66666666669</v>
      </c>
      <c r="AK24" s="158">
        <f t="shared" ref="AK24:AU24" si="45">AK64*$AG$22/(1-$AH$24)</f>
        <v>268266.66666666669</v>
      </c>
      <c r="AL24" s="158">
        <f t="shared" si="45"/>
        <v>274346.66666666669</v>
      </c>
      <c r="AM24" s="158">
        <f t="shared" si="45"/>
        <v>311146.66666666669</v>
      </c>
      <c r="AN24" s="158">
        <f t="shared" si="45"/>
        <v>369280</v>
      </c>
      <c r="AO24" s="158">
        <f t="shared" si="45"/>
        <v>474880</v>
      </c>
      <c r="AP24" s="158">
        <f t="shared" si="45"/>
        <v>497280</v>
      </c>
      <c r="AQ24" s="158">
        <f t="shared" si="45"/>
        <v>398080</v>
      </c>
      <c r="AR24" s="158">
        <f t="shared" si="45"/>
        <v>360746.66666666669</v>
      </c>
      <c r="AS24" s="158">
        <f t="shared" si="45"/>
        <v>341546.66666666669</v>
      </c>
      <c r="AT24" s="158">
        <f t="shared" si="45"/>
        <v>274880</v>
      </c>
      <c r="AU24" s="158">
        <f t="shared" si="45"/>
        <v>274346.66666666669</v>
      </c>
      <c r="AV24" s="407">
        <f>SUM(AJ24:AU24)</f>
        <v>4097066.6666666665</v>
      </c>
      <c r="AX24" s="158"/>
      <c r="AY24" s="158"/>
      <c r="AZ24" s="158"/>
      <c r="BA24" s="158"/>
      <c r="BB24" s="158"/>
      <c r="BC24" s="158"/>
      <c r="BD24" s="158"/>
      <c r="BE24" s="158"/>
      <c r="BF24" s="158"/>
      <c r="BG24" s="158"/>
      <c r="BH24" s="158"/>
      <c r="BI24" s="158"/>
      <c r="BJ24" s="59"/>
    </row>
    <row r="25" spans="1:62">
      <c r="A25" s="143">
        <f>(A65*$A$22)/(1-$B$24)</f>
        <v>8080</v>
      </c>
      <c r="B25" s="143">
        <f>(B65*$A$22)/(1-$B$24)</f>
        <v>227.20000000000002</v>
      </c>
      <c r="C25" s="10" t="s">
        <v>641</v>
      </c>
      <c r="D25" s="158">
        <f>D24</f>
        <v>238933.33333333334</v>
      </c>
      <c r="E25" s="158">
        <f>D25+E24</f>
        <v>487680</v>
      </c>
      <c r="F25" s="158">
        <f t="shared" ref="F25:O25" si="46">E25+F24</f>
        <v>753066.66666666674</v>
      </c>
      <c r="G25" s="158">
        <f t="shared" si="46"/>
        <v>1040213.3333333335</v>
      </c>
      <c r="H25" s="158">
        <f t="shared" si="46"/>
        <v>1390293.3333333335</v>
      </c>
      <c r="I25" s="158">
        <f t="shared" si="46"/>
        <v>1839573.3333333335</v>
      </c>
      <c r="J25" s="158">
        <f t="shared" si="46"/>
        <v>2312320</v>
      </c>
      <c r="K25" s="158">
        <f t="shared" si="46"/>
        <v>2695466.6666666665</v>
      </c>
      <c r="L25" s="158">
        <f t="shared" si="46"/>
        <v>3038080</v>
      </c>
      <c r="M25" s="158">
        <f t="shared" si="46"/>
        <v>3359360</v>
      </c>
      <c r="N25" s="158">
        <f t="shared" si="46"/>
        <v>3611306.6666666665</v>
      </c>
      <c r="O25" s="158">
        <f t="shared" si="46"/>
        <v>3871786.6666666665</v>
      </c>
      <c r="P25" s="59"/>
      <c r="Q25" s="143">
        <f>(Q66*$Q$22)/(1-$R$24)</f>
        <v>8080</v>
      </c>
      <c r="R25" s="143">
        <f>(R66*$Q$22)/(1-$R$24)</f>
        <v>227.20000000000002</v>
      </c>
      <c r="S25" s="10" t="s">
        <v>641</v>
      </c>
      <c r="T25" s="158">
        <f>T24</f>
        <v>239936</v>
      </c>
      <c r="U25" s="158">
        <f>T25+U24</f>
        <v>495125.33333333337</v>
      </c>
      <c r="V25" s="158">
        <f t="shared" ref="V25:AE25" si="47">U25+V24</f>
        <v>766634.66666666674</v>
      </c>
      <c r="W25" s="158">
        <f t="shared" si="47"/>
        <v>1064170.6666666667</v>
      </c>
      <c r="X25" s="158">
        <f t="shared" si="47"/>
        <v>1423040</v>
      </c>
      <c r="Y25" s="158">
        <f t="shared" si="47"/>
        <v>1878976</v>
      </c>
      <c r="Z25" s="158">
        <f t="shared" si="47"/>
        <v>2358378.6666666665</v>
      </c>
      <c r="AA25" s="158">
        <f t="shared" si="47"/>
        <v>2750314.6666666665</v>
      </c>
      <c r="AB25" s="158">
        <f t="shared" si="47"/>
        <v>3101717.333333333</v>
      </c>
      <c r="AC25" s="158">
        <f t="shared" si="47"/>
        <v>3432853.333333333</v>
      </c>
      <c r="AD25" s="158">
        <f t="shared" si="47"/>
        <v>3694122.6666666665</v>
      </c>
      <c r="AE25" s="158">
        <f t="shared" si="47"/>
        <v>3960192</v>
      </c>
      <c r="AF25" s="59"/>
      <c r="AG25" s="143">
        <f>(AG66*$Q$22)/(1-$R$24)</f>
        <v>8080</v>
      </c>
      <c r="AH25" s="143">
        <f>(AH66*$Q$22)/(1-$R$24)</f>
        <v>227.20000000000002</v>
      </c>
      <c r="AI25" s="10" t="s">
        <v>641</v>
      </c>
      <c r="AJ25" s="158">
        <f>AJ24</f>
        <v>252266.66666666669</v>
      </c>
      <c r="AK25" s="158">
        <f>AJ25+AK24</f>
        <v>520533.33333333337</v>
      </c>
      <c r="AL25" s="158">
        <f t="shared" ref="AL25:AU25" si="48">AK25+AL24</f>
        <v>794880</v>
      </c>
      <c r="AM25" s="158">
        <f t="shared" si="48"/>
        <v>1106026.6666666667</v>
      </c>
      <c r="AN25" s="158">
        <f t="shared" si="48"/>
        <v>1475306.6666666667</v>
      </c>
      <c r="AO25" s="158">
        <f t="shared" si="48"/>
        <v>1950186.6666666667</v>
      </c>
      <c r="AP25" s="158">
        <f t="shared" si="48"/>
        <v>2447466.666666667</v>
      </c>
      <c r="AQ25" s="158">
        <f t="shared" si="48"/>
        <v>2845546.666666667</v>
      </c>
      <c r="AR25" s="158">
        <f t="shared" si="48"/>
        <v>3206293.3333333335</v>
      </c>
      <c r="AS25" s="158">
        <f t="shared" si="48"/>
        <v>3547840</v>
      </c>
      <c r="AT25" s="158">
        <f t="shared" si="48"/>
        <v>3822720</v>
      </c>
      <c r="AU25" s="158">
        <f t="shared" si="48"/>
        <v>4097066.6666666665</v>
      </c>
      <c r="AV25" s="59"/>
      <c r="AX25" s="158"/>
      <c r="AY25" s="158"/>
      <c r="AZ25" s="158"/>
      <c r="BA25" s="158"/>
      <c r="BB25" s="158"/>
      <c r="BC25" s="158"/>
      <c r="BD25" s="158"/>
      <c r="BE25" s="158"/>
      <c r="BF25" s="158"/>
      <c r="BG25" s="158"/>
      <c r="BH25" s="158"/>
      <c r="BI25" s="158"/>
      <c r="BJ25" s="59"/>
    </row>
    <row r="26" spans="1:62">
      <c r="A26" s="22">
        <f>A27+(55*B27)</f>
        <v>169223.74736842106</v>
      </c>
      <c r="C26" s="10" t="s">
        <v>409</v>
      </c>
      <c r="D26" s="240">
        <f>SUM(D22,D24)</f>
        <v>529738.1333333333</v>
      </c>
      <c r="E26" s="240">
        <f t="shared" ref="E26:O26" si="49">SUM(E22,E24)</f>
        <v>539551.46666666667</v>
      </c>
      <c r="F26" s="240">
        <f t="shared" si="49"/>
        <v>602770.65824561403</v>
      </c>
      <c r="G26" s="240">
        <f t="shared" si="49"/>
        <v>1017022.1698245616</v>
      </c>
      <c r="H26" s="240">
        <f t="shared" si="49"/>
        <v>1582823.8568421055</v>
      </c>
      <c r="I26" s="240">
        <f t="shared" si="49"/>
        <v>2343553.7894736845</v>
      </c>
      <c r="J26" s="240">
        <f t="shared" si="49"/>
        <v>2562880.4266666668</v>
      </c>
      <c r="K26" s="240">
        <f t="shared" si="49"/>
        <v>2143814.9950877195</v>
      </c>
      <c r="L26" s="240">
        <f t="shared" si="49"/>
        <v>1741856.4280701755</v>
      </c>
      <c r="M26" s="240">
        <f t="shared" si="49"/>
        <v>1119257.7684210527</v>
      </c>
      <c r="N26" s="240">
        <f t="shared" si="49"/>
        <v>702022.21192982467</v>
      </c>
      <c r="O26" s="240">
        <f t="shared" si="49"/>
        <v>552665.53684210521</v>
      </c>
      <c r="P26" s="143">
        <f>SUM(D26:O26)</f>
        <v>15437957.441403512</v>
      </c>
      <c r="Q26" s="22">
        <f>Q27+(55*R27)</f>
        <v>170964.37894736842</v>
      </c>
      <c r="S26" s="10" t="s">
        <v>409</v>
      </c>
      <c r="T26" s="158">
        <f>SUM(T22,T24)</f>
        <v>534304.16842105263</v>
      </c>
      <c r="U26" s="158">
        <f t="shared" ref="U26:AE26" si="50">SUM(U22,U24)</f>
        <v>549557.501754386</v>
      </c>
      <c r="V26" s="158">
        <f t="shared" si="50"/>
        <v>612994.97543859645</v>
      </c>
      <c r="W26" s="158">
        <f t="shared" si="50"/>
        <v>1036100.210526316</v>
      </c>
      <c r="X26" s="158">
        <f t="shared" si="50"/>
        <v>1606166.5122807021</v>
      </c>
      <c r="Y26" s="158">
        <f t="shared" si="50"/>
        <v>2372490.6947368421</v>
      </c>
      <c r="Z26" s="158">
        <f t="shared" si="50"/>
        <v>2594103.6350877192</v>
      </c>
      <c r="AA26" s="158">
        <f>SUM(AA22,AA24)</f>
        <v>2127583.2421052633</v>
      </c>
      <c r="AB26" s="158">
        <f t="shared" si="50"/>
        <v>1767148.0982456144</v>
      </c>
      <c r="AC26" s="158">
        <f t="shared" si="50"/>
        <v>1138592.0000000002</v>
      </c>
      <c r="AD26" s="158">
        <f t="shared" si="50"/>
        <v>716767.43859649124</v>
      </c>
      <c r="AE26" s="158">
        <f t="shared" si="50"/>
        <v>561828.9122807018</v>
      </c>
      <c r="AF26" s="407">
        <f>SUM(T26:AE26)</f>
        <v>15617637.389473686</v>
      </c>
      <c r="AG26" s="22">
        <f>AG27+(55*AH27)</f>
        <v>173087.07368421054</v>
      </c>
      <c r="AI26" s="10" t="s">
        <v>409</v>
      </c>
      <c r="AJ26" s="158">
        <f>SUM(AJ22,AJ24)</f>
        <v>550843.003508772</v>
      </c>
      <c r="AK26" s="158">
        <f t="shared" ref="AK26:AU26" si="51">SUM(AK22,AK24)</f>
        <v>566843.003508772</v>
      </c>
      <c r="AL26" s="158">
        <f t="shared" si="51"/>
        <v>620703.12140350882</v>
      </c>
      <c r="AM26" s="158">
        <f t="shared" si="51"/>
        <v>1060183.34877193</v>
      </c>
      <c r="AN26" s="158">
        <f t="shared" si="51"/>
        <v>1634222.2568421054</v>
      </c>
      <c r="AO26" s="158">
        <f t="shared" si="51"/>
        <v>2418519.8526315792</v>
      </c>
      <c r="AP26" s="158">
        <f t="shared" si="51"/>
        <v>2641860.4968421059</v>
      </c>
      <c r="AQ26" s="158">
        <f t="shared" si="51"/>
        <v>2158255.6421052637</v>
      </c>
      <c r="AR26" s="158">
        <f t="shared" si="51"/>
        <v>1796514.561403509</v>
      </c>
      <c r="AS26" s="158">
        <f t="shared" si="51"/>
        <v>1160444.8561403509</v>
      </c>
      <c r="AT26" s="158">
        <f t="shared" si="51"/>
        <v>736858.61894736835</v>
      </c>
      <c r="AU26" s="158">
        <f t="shared" si="51"/>
        <v>574332.20350877196</v>
      </c>
      <c r="AV26" s="407">
        <f>SUM(AJ26:AU26)</f>
        <v>15919580.965614038</v>
      </c>
      <c r="AX26" s="158"/>
      <c r="AY26" s="158"/>
      <c r="AZ26" s="158"/>
      <c r="BA26" s="158"/>
      <c r="BB26" s="158"/>
      <c r="BC26" s="158"/>
      <c r="BD26" s="158"/>
      <c r="BE26" s="158"/>
      <c r="BF26" s="158"/>
      <c r="BG26" s="158"/>
      <c r="BH26" s="158"/>
      <c r="BI26" s="158"/>
      <c r="BJ26" s="59"/>
    </row>
    <row r="27" spans="1:62">
      <c r="A27" s="143">
        <f>SUM(A23,A25)</f>
        <v>17460.800000000003</v>
      </c>
      <c r="B27" s="143">
        <f>SUM(B23,B25)</f>
        <v>2759.3263157894735</v>
      </c>
      <c r="C27" s="10" t="s">
        <v>642</v>
      </c>
      <c r="D27" s="158">
        <f>D26</f>
        <v>529738.1333333333</v>
      </c>
      <c r="E27" s="158">
        <f>D27+E26</f>
        <v>1069289.6000000001</v>
      </c>
      <c r="F27" s="158">
        <f t="shared" ref="F27:O27" si="52">E27+F26</f>
        <v>1672060.2582456141</v>
      </c>
      <c r="G27" s="158">
        <f t="shared" si="52"/>
        <v>2689082.4280701755</v>
      </c>
      <c r="H27" s="158">
        <f t="shared" si="52"/>
        <v>4271906.2849122807</v>
      </c>
      <c r="I27" s="158">
        <f t="shared" si="52"/>
        <v>6615460.0743859652</v>
      </c>
      <c r="J27" s="158">
        <f t="shared" si="52"/>
        <v>9178340.5010526329</v>
      </c>
      <c r="K27" s="158">
        <f t="shared" si="52"/>
        <v>11322155.496140353</v>
      </c>
      <c r="L27" s="158">
        <f t="shared" si="52"/>
        <v>13064011.92421053</v>
      </c>
      <c r="M27" s="158">
        <f t="shared" si="52"/>
        <v>14183269.692631582</v>
      </c>
      <c r="N27" s="158">
        <f t="shared" si="52"/>
        <v>14885291.904561406</v>
      </c>
      <c r="O27" s="158">
        <f t="shared" si="52"/>
        <v>15437957.441403512</v>
      </c>
      <c r="P27" s="59"/>
      <c r="Q27" s="27">
        <f>SUM(Q23,Q25)</f>
        <v>17575.747368421056</v>
      </c>
      <c r="R27" s="27">
        <f>SUM(R23,R25)</f>
        <v>2788.8842105263157</v>
      </c>
      <c r="S27" s="10" t="s">
        <v>642</v>
      </c>
      <c r="T27" s="158">
        <f>T26</f>
        <v>534304.16842105263</v>
      </c>
      <c r="U27" s="158">
        <f>T27+U26</f>
        <v>1083861.6701754387</v>
      </c>
      <c r="V27" s="158">
        <f t="shared" ref="V27:AE27" si="53">U27+V26</f>
        <v>1696856.6456140352</v>
      </c>
      <c r="W27" s="158">
        <f t="shared" si="53"/>
        <v>2732956.8561403509</v>
      </c>
      <c r="X27" s="158">
        <f t="shared" si="53"/>
        <v>4339123.3684210535</v>
      </c>
      <c r="Y27" s="158">
        <f t="shared" si="53"/>
        <v>6711614.0631578956</v>
      </c>
      <c r="Z27" s="158">
        <f t="shared" si="53"/>
        <v>9305717.6982456148</v>
      </c>
      <c r="AA27" s="158">
        <f t="shared" si="53"/>
        <v>11433300.940350879</v>
      </c>
      <c r="AB27" s="158">
        <f t="shared" si="53"/>
        <v>13200449.038596494</v>
      </c>
      <c r="AC27" s="158">
        <f t="shared" si="53"/>
        <v>14339041.038596494</v>
      </c>
      <c r="AD27" s="158">
        <f t="shared" si="53"/>
        <v>15055808.477192985</v>
      </c>
      <c r="AE27" s="158">
        <f t="shared" si="53"/>
        <v>15617637.389473686</v>
      </c>
      <c r="AF27" s="59"/>
      <c r="AG27" s="27">
        <f>SUM(AG23,AG25)</f>
        <v>17711.494736842105</v>
      </c>
      <c r="AH27" s="27">
        <f>SUM(AH23,AH25)</f>
        <v>2825.0105263157893</v>
      </c>
      <c r="AI27" s="10" t="s">
        <v>642</v>
      </c>
      <c r="AJ27" s="158">
        <f>AJ26</f>
        <v>550843.003508772</v>
      </c>
      <c r="AK27" s="158">
        <f>AJ27+AK26</f>
        <v>1117686.007017544</v>
      </c>
      <c r="AL27" s="158">
        <f t="shared" ref="AL27:AU27" si="54">AK27+AL26</f>
        <v>1738389.1284210528</v>
      </c>
      <c r="AM27" s="158">
        <f t="shared" si="54"/>
        <v>2798572.477192983</v>
      </c>
      <c r="AN27" s="158">
        <f t="shared" si="54"/>
        <v>4432794.7340350887</v>
      </c>
      <c r="AO27" s="158">
        <f t="shared" si="54"/>
        <v>6851314.5866666678</v>
      </c>
      <c r="AP27" s="158">
        <f t="shared" si="54"/>
        <v>9493175.0835087746</v>
      </c>
      <c r="AQ27" s="158">
        <f t="shared" si="54"/>
        <v>11651430.725614037</v>
      </c>
      <c r="AR27" s="158">
        <f t="shared" si="54"/>
        <v>13447945.287017547</v>
      </c>
      <c r="AS27" s="158">
        <f t="shared" si="54"/>
        <v>14608390.143157898</v>
      </c>
      <c r="AT27" s="158">
        <f t="shared" si="54"/>
        <v>15345248.762105266</v>
      </c>
      <c r="AU27" s="158">
        <f t="shared" si="54"/>
        <v>15919580.965614038</v>
      </c>
      <c r="AV27" s="59"/>
      <c r="AX27" s="158"/>
      <c r="AY27" s="158"/>
      <c r="AZ27" s="158"/>
      <c r="BA27" s="158"/>
      <c r="BB27" s="158"/>
      <c r="BC27" s="158"/>
      <c r="BD27" s="158"/>
      <c r="BE27" s="158"/>
      <c r="BF27" s="158"/>
      <c r="BG27" s="158"/>
      <c r="BH27" s="158"/>
      <c r="BI27" s="158"/>
      <c r="BJ27" s="59"/>
    </row>
    <row r="28" spans="1:62">
      <c r="A28" s="27">
        <v>16681</v>
      </c>
      <c r="B28" s="27">
        <v>2919</v>
      </c>
      <c r="C28" s="22" t="s">
        <v>540</v>
      </c>
      <c r="D28" s="394">
        <v>483450.30000000005</v>
      </c>
      <c r="E28" s="394">
        <v>531090.49999999988</v>
      </c>
      <c r="F28" s="394">
        <v>583937.59999999986</v>
      </c>
      <c r="G28" s="419">
        <v>949333.50000000012</v>
      </c>
      <c r="H28" s="394">
        <v>1404054.8</v>
      </c>
      <c r="I28" s="419">
        <v>1959405</v>
      </c>
      <c r="J28" s="419">
        <v>2391634</v>
      </c>
      <c r="K28" s="419">
        <v>2000269</v>
      </c>
      <c r="L28" s="419">
        <v>1149243</v>
      </c>
      <c r="M28" s="419">
        <v>912145.5</v>
      </c>
      <c r="N28" s="394">
        <v>588725</v>
      </c>
      <c r="O28" s="394">
        <v>541188.1</v>
      </c>
      <c r="P28" s="151"/>
      <c r="Q28" s="22"/>
      <c r="S28" s="22" t="s">
        <v>540</v>
      </c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151"/>
      <c r="AG28" s="22"/>
      <c r="AI28" s="22" t="s">
        <v>540</v>
      </c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151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151"/>
    </row>
    <row r="29" spans="1:62" s="24" customFormat="1">
      <c r="A29" s="22">
        <f>A28+(B28*55)</f>
        <v>177226</v>
      </c>
      <c r="B29" s="28"/>
      <c r="C29" s="22" t="s">
        <v>643</v>
      </c>
      <c r="D29" s="28">
        <f>D28</f>
        <v>483450.30000000005</v>
      </c>
      <c r="E29" s="28">
        <f t="shared" ref="E29:N29" si="55">D29+E28</f>
        <v>1014540.7999999999</v>
      </c>
      <c r="F29" s="28">
        <f t="shared" si="55"/>
        <v>1598478.4</v>
      </c>
      <c r="G29" s="28">
        <f t="shared" si="55"/>
        <v>2547811.9</v>
      </c>
      <c r="H29" s="28">
        <f t="shared" si="55"/>
        <v>3951866.7</v>
      </c>
      <c r="I29" s="163">
        <f t="shared" si="55"/>
        <v>5911271.7000000002</v>
      </c>
      <c r="J29" s="163">
        <f t="shared" si="55"/>
        <v>8302905.7000000002</v>
      </c>
      <c r="K29" s="163">
        <f t="shared" si="55"/>
        <v>10303174.699999999</v>
      </c>
      <c r="L29" s="163">
        <f t="shared" si="55"/>
        <v>11452417.699999999</v>
      </c>
      <c r="M29" s="163">
        <f t="shared" si="55"/>
        <v>12364563.199999999</v>
      </c>
      <c r="N29" s="163">
        <f t="shared" si="55"/>
        <v>12953288.199999999</v>
      </c>
      <c r="O29" s="28"/>
      <c r="P29" s="298">
        <f>8.5/19</f>
        <v>0.44736842105263158</v>
      </c>
      <c r="Q29" s="28"/>
      <c r="S29" s="22" t="s">
        <v>643</v>
      </c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182"/>
      <c r="AG29" s="28"/>
      <c r="AI29" s="22" t="s">
        <v>643</v>
      </c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182"/>
      <c r="AW29" s="22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182"/>
    </row>
    <row r="30" spans="1:62" s="24" customFormat="1">
      <c r="A30" s="107">
        <f>A26-A29</f>
        <v>-8002.2526315789437</v>
      </c>
      <c r="B30" s="205" t="s">
        <v>907</v>
      </c>
      <c r="C30" s="28" t="s">
        <v>538</v>
      </c>
      <c r="D30" s="107">
        <f t="shared" ref="D30:M30" si="56">D28-D26</f>
        <v>-46287.833333333256</v>
      </c>
      <c r="E30" s="107">
        <f t="shared" si="56"/>
        <v>-8460.9666666667908</v>
      </c>
      <c r="F30" s="107">
        <f t="shared" si="56"/>
        <v>-18833.058245614171</v>
      </c>
      <c r="G30" s="107">
        <f t="shared" si="56"/>
        <v>-67688.669824561453</v>
      </c>
      <c r="H30" s="107">
        <f t="shared" si="56"/>
        <v>-178769.05684210546</v>
      </c>
      <c r="I30" s="101">
        <f t="shared" si="56"/>
        <v>-384148.7894736845</v>
      </c>
      <c r="J30" s="101">
        <f t="shared" si="56"/>
        <v>-171246.42666666675</v>
      </c>
      <c r="K30" s="101">
        <f t="shared" si="56"/>
        <v>-143545.99508771952</v>
      </c>
      <c r="L30" s="101">
        <f t="shared" si="56"/>
        <v>-592613.42807017546</v>
      </c>
      <c r="M30" s="101">
        <f t="shared" si="56"/>
        <v>-207112.26842105272</v>
      </c>
      <c r="N30" s="107">
        <f>N28-N26</f>
        <v>-113297.21192982467</v>
      </c>
      <c r="O30" s="107">
        <f>O28-O26</f>
        <v>-11477.436842105235</v>
      </c>
      <c r="P30" s="182"/>
      <c r="Q30" s="28"/>
      <c r="S30" s="28" t="s">
        <v>538</v>
      </c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182"/>
      <c r="AG30" s="28"/>
      <c r="AI30" s="28" t="s">
        <v>538</v>
      </c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182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182"/>
    </row>
    <row r="31" spans="1:62" s="24" customFormat="1">
      <c r="A31" s="13" t="s">
        <v>86</v>
      </c>
      <c r="B31" s="131" t="s">
        <v>87</v>
      </c>
      <c r="C31" s="28" t="s">
        <v>539</v>
      </c>
      <c r="D31" s="128">
        <f t="shared" ref="D31:M31" si="57">D30/D26</f>
        <v>-8.7378707366356473E-2</v>
      </c>
      <c r="E31" s="128">
        <f t="shared" si="57"/>
        <v>-1.5681482100194068E-2</v>
      </c>
      <c r="F31" s="128">
        <f t="shared" si="57"/>
        <v>-3.1244152295714714E-2</v>
      </c>
      <c r="G31" s="128">
        <f t="shared" si="57"/>
        <v>-6.6555746603083277E-2</v>
      </c>
      <c r="H31" s="128">
        <f t="shared" si="57"/>
        <v>-0.11294311497096582</v>
      </c>
      <c r="I31" s="294">
        <f t="shared" si="57"/>
        <v>-0.16391720608211713</v>
      </c>
      <c r="J31" s="294">
        <f t="shared" si="57"/>
        <v>-6.6817954081998768E-2</v>
      </c>
      <c r="K31" s="294">
        <f t="shared" si="57"/>
        <v>-6.6958200878637839E-2</v>
      </c>
      <c r="L31" s="294">
        <f t="shared" si="57"/>
        <v>-0.34021944548365524</v>
      </c>
      <c r="M31" s="294">
        <f t="shared" si="57"/>
        <v>-0.18504429834177333</v>
      </c>
      <c r="N31" s="128">
        <f>N30/N26</f>
        <v>-0.16138693335411167</v>
      </c>
      <c r="O31" s="128">
        <f>O30/O26</f>
        <v>-2.0767419129635908E-2</v>
      </c>
      <c r="P31" s="182"/>
      <c r="Q31" s="28"/>
      <c r="S31" s="28" t="s">
        <v>539</v>
      </c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182"/>
      <c r="AG31" s="28"/>
      <c r="AI31" s="28" t="s">
        <v>539</v>
      </c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182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182"/>
    </row>
    <row r="32" spans="1:62" s="24" customFormat="1">
      <c r="A32" s="22"/>
      <c r="B32" s="28"/>
      <c r="C32" s="28" t="s">
        <v>644</v>
      </c>
      <c r="D32" s="107">
        <f>D30</f>
        <v>-46287.833333333256</v>
      </c>
      <c r="E32" s="107">
        <f t="shared" ref="E32:M32" si="58">D32+E30</f>
        <v>-54748.800000000047</v>
      </c>
      <c r="F32" s="107">
        <f t="shared" si="58"/>
        <v>-73581.858245614218</v>
      </c>
      <c r="G32" s="107">
        <f t="shared" si="58"/>
        <v>-141270.52807017567</v>
      </c>
      <c r="H32" s="107">
        <f t="shared" si="58"/>
        <v>-320039.58491228113</v>
      </c>
      <c r="I32" s="101">
        <f t="shared" si="58"/>
        <v>-704188.37438596564</v>
      </c>
      <c r="J32" s="101">
        <f t="shared" si="58"/>
        <v>-875434.80105263239</v>
      </c>
      <c r="K32" s="101">
        <f t="shared" si="58"/>
        <v>-1018980.7961403519</v>
      </c>
      <c r="L32" s="101">
        <f t="shared" si="58"/>
        <v>-1611594.2242105273</v>
      </c>
      <c r="M32" s="101">
        <f t="shared" si="58"/>
        <v>-1818706.49263158</v>
      </c>
      <c r="N32" s="107">
        <f>M32+N30</f>
        <v>-1932003.7045614047</v>
      </c>
      <c r="O32" s="107">
        <f>N32+O30</f>
        <v>-1943481.1414035098</v>
      </c>
      <c r="P32" s="182"/>
      <c r="Q32" s="28"/>
      <c r="S32" s="28" t="s">
        <v>644</v>
      </c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182"/>
      <c r="AG32" s="28"/>
      <c r="AI32" s="28" t="s">
        <v>644</v>
      </c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182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182"/>
    </row>
    <row r="33" spans="1:62" s="24" customFormat="1">
      <c r="A33" s="22"/>
      <c r="B33" s="28"/>
      <c r="C33" s="28" t="s">
        <v>645</v>
      </c>
      <c r="D33" s="128">
        <f t="shared" ref="D33:M33" si="59">D32/D27</f>
        <v>-8.7378707366356473E-2</v>
      </c>
      <c r="E33" s="128">
        <f t="shared" si="59"/>
        <v>-5.1201096503697446E-2</v>
      </c>
      <c r="F33" s="128">
        <f t="shared" si="59"/>
        <v>-4.4006702439551404E-2</v>
      </c>
      <c r="G33" s="128">
        <f t="shared" si="59"/>
        <v>-5.2534844821234696E-2</v>
      </c>
      <c r="H33" s="128">
        <f t="shared" si="59"/>
        <v>-7.4917276636571356E-2</v>
      </c>
      <c r="I33" s="294">
        <f t="shared" si="59"/>
        <v>-0.10644586566435095</v>
      </c>
      <c r="J33" s="294">
        <f t="shared" si="59"/>
        <v>-9.5380510338686136E-2</v>
      </c>
      <c r="K33" s="294">
        <f t="shared" si="59"/>
        <v>-8.9998834275656747E-2</v>
      </c>
      <c r="L33" s="294">
        <f t="shared" si="59"/>
        <v>-0.12336135588056862</v>
      </c>
      <c r="M33" s="294">
        <f t="shared" si="59"/>
        <v>-0.12822900022668432</v>
      </c>
      <c r="N33" s="128">
        <f>N32/N27</f>
        <v>-0.12979279929131701</v>
      </c>
      <c r="O33" s="128">
        <f>O32/O27</f>
        <v>-0.12588978488768407</v>
      </c>
      <c r="P33" s="304"/>
      <c r="Q33" s="28"/>
      <c r="S33" s="28" t="s">
        <v>645</v>
      </c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182"/>
      <c r="AG33" s="28"/>
      <c r="AI33" s="28" t="s">
        <v>645</v>
      </c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182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182"/>
    </row>
    <row r="34" spans="1:62">
      <c r="C34" s="10" t="s">
        <v>870</v>
      </c>
      <c r="D34" s="124">
        <f t="shared" ref="D34:J34" si="60">(D26-D28)/D28</f>
        <v>9.574476080236842E-2</v>
      </c>
      <c r="E34" s="124">
        <f t="shared" si="60"/>
        <v>1.5931308631328921E-2</v>
      </c>
      <c r="F34" s="124">
        <f t="shared" si="60"/>
        <v>3.2251833493192036E-2</v>
      </c>
      <c r="G34" s="124">
        <f t="shared" si="60"/>
        <v>7.1301254853601448E-2</v>
      </c>
      <c r="H34" s="124">
        <f t="shared" si="60"/>
        <v>0.12732341846066511</v>
      </c>
      <c r="I34" s="124">
        <f t="shared" si="60"/>
        <v>0.19605379667485001</v>
      </c>
      <c r="J34" s="124">
        <f t="shared" si="60"/>
        <v>7.1602271362033967E-2</v>
      </c>
      <c r="R34" s="124"/>
    </row>
    <row r="35" spans="1:62">
      <c r="C35" s="11" t="s">
        <v>80</v>
      </c>
      <c r="D35" s="149">
        <v>40725</v>
      </c>
      <c r="E35" s="149">
        <v>40756</v>
      </c>
      <c r="F35" s="149">
        <v>40787</v>
      </c>
      <c r="G35" s="149">
        <v>40817</v>
      </c>
      <c r="H35" s="149">
        <v>40848</v>
      </c>
      <c r="I35" s="149">
        <v>40878</v>
      </c>
      <c r="J35" s="149">
        <v>40909</v>
      </c>
      <c r="K35" s="149">
        <v>40940</v>
      </c>
      <c r="L35" s="149">
        <v>40969</v>
      </c>
      <c r="M35" s="149">
        <v>41000</v>
      </c>
      <c r="N35" s="149">
        <v>41030</v>
      </c>
      <c r="O35" s="149">
        <v>41061</v>
      </c>
      <c r="P35" s="11" t="s">
        <v>857</v>
      </c>
      <c r="Q35" s="13"/>
      <c r="R35" s="13"/>
      <c r="S35" s="11" t="s">
        <v>80</v>
      </c>
      <c r="T35" s="149">
        <v>41091</v>
      </c>
      <c r="U35" s="149">
        <v>41122</v>
      </c>
      <c r="V35" s="149">
        <v>41153</v>
      </c>
      <c r="W35" s="149">
        <v>41183</v>
      </c>
      <c r="X35" s="149">
        <v>41214</v>
      </c>
      <c r="Y35" s="149">
        <v>41244</v>
      </c>
      <c r="Z35" s="149">
        <v>41275</v>
      </c>
      <c r="AA35" s="149">
        <v>41306</v>
      </c>
      <c r="AB35" s="149">
        <v>41334</v>
      </c>
      <c r="AC35" s="149">
        <v>41365</v>
      </c>
      <c r="AD35" s="149">
        <v>41395</v>
      </c>
      <c r="AE35" s="149">
        <v>41426</v>
      </c>
      <c r="AF35" s="11" t="s">
        <v>878</v>
      </c>
      <c r="AI35" s="11" t="s">
        <v>80</v>
      </c>
      <c r="AJ35" s="149">
        <v>41456</v>
      </c>
      <c r="AK35" s="149">
        <v>41487</v>
      </c>
      <c r="AL35" s="149">
        <v>41518</v>
      </c>
      <c r="AM35" s="149">
        <v>41548</v>
      </c>
      <c r="AN35" s="149">
        <v>41579</v>
      </c>
      <c r="AO35" s="149">
        <v>41609</v>
      </c>
      <c r="AP35" s="149">
        <v>41640</v>
      </c>
      <c r="AQ35" s="149">
        <v>41671</v>
      </c>
      <c r="AR35" s="149">
        <v>41699</v>
      </c>
      <c r="AS35" s="149">
        <v>41730</v>
      </c>
      <c r="AT35" s="149">
        <v>41760</v>
      </c>
      <c r="AU35" s="149">
        <v>41791</v>
      </c>
      <c r="AV35" s="11" t="s">
        <v>906</v>
      </c>
      <c r="AW35" s="11"/>
      <c r="AX35" s="149"/>
      <c r="AY35" s="149"/>
      <c r="AZ35" s="149"/>
      <c r="BA35" s="149"/>
      <c r="BB35" s="149"/>
      <c r="BC35" s="149"/>
      <c r="BD35" s="149"/>
      <c r="BE35" s="149"/>
      <c r="BF35" s="149"/>
      <c r="BG35" s="149"/>
      <c r="BH35" s="149"/>
      <c r="BI35" s="149"/>
      <c r="BJ35" s="11"/>
    </row>
    <row r="36" spans="1:62" s="22" customFormat="1">
      <c r="A36" s="380" t="s">
        <v>86</v>
      </c>
      <c r="B36" s="13" t="s">
        <v>87</v>
      </c>
      <c r="C36" s="22" t="s">
        <v>1</v>
      </c>
      <c r="D36" s="158">
        <v>31</v>
      </c>
      <c r="E36" s="22">
        <v>31</v>
      </c>
      <c r="F36" s="22">
        <v>30</v>
      </c>
      <c r="G36" s="22">
        <v>31</v>
      </c>
      <c r="H36" s="22">
        <v>30</v>
      </c>
      <c r="I36" s="152">
        <v>31</v>
      </c>
      <c r="J36" s="158">
        <v>31</v>
      </c>
      <c r="K36" s="152">
        <v>28</v>
      </c>
      <c r="L36" s="152">
        <v>31</v>
      </c>
      <c r="M36" s="152">
        <v>30</v>
      </c>
      <c r="N36" s="22">
        <v>31</v>
      </c>
      <c r="O36" s="22">
        <v>30</v>
      </c>
      <c r="P36" s="22">
        <f t="shared" ref="P36:P52" si="61">SUM(D36:O36)</f>
        <v>365</v>
      </c>
      <c r="Q36" s="13" t="s">
        <v>86</v>
      </c>
      <c r="R36" s="13" t="s">
        <v>87</v>
      </c>
      <c r="S36" s="22" t="s">
        <v>1</v>
      </c>
      <c r="T36" s="158">
        <v>31</v>
      </c>
      <c r="U36" s="22">
        <v>31</v>
      </c>
      <c r="V36" s="22">
        <v>30</v>
      </c>
      <c r="W36" s="22">
        <v>31</v>
      </c>
      <c r="X36" s="22">
        <v>30</v>
      </c>
      <c r="Y36" s="22">
        <v>31</v>
      </c>
      <c r="Z36" s="159">
        <v>31</v>
      </c>
      <c r="AA36" s="274">
        <v>28</v>
      </c>
      <c r="AB36" s="22">
        <v>31</v>
      </c>
      <c r="AC36" s="22">
        <v>30</v>
      </c>
      <c r="AD36" s="22">
        <v>31</v>
      </c>
      <c r="AE36" s="22">
        <v>30</v>
      </c>
      <c r="AG36" s="13" t="s">
        <v>86</v>
      </c>
      <c r="AH36" s="13" t="s">
        <v>87</v>
      </c>
      <c r="AI36" s="22" t="s">
        <v>1</v>
      </c>
      <c r="AJ36" s="158">
        <v>31</v>
      </c>
      <c r="AK36" s="22">
        <v>31</v>
      </c>
      <c r="AL36" s="22">
        <v>30</v>
      </c>
      <c r="AM36" s="22">
        <v>31</v>
      </c>
      <c r="AN36" s="22">
        <v>30</v>
      </c>
      <c r="AO36" s="22">
        <v>31</v>
      </c>
      <c r="AP36" s="159">
        <v>31</v>
      </c>
      <c r="AQ36" s="22">
        <v>28</v>
      </c>
      <c r="AR36" s="22">
        <v>31</v>
      </c>
      <c r="AS36" s="22">
        <v>30</v>
      </c>
      <c r="AT36" s="22">
        <v>31</v>
      </c>
      <c r="AU36" s="22">
        <v>30</v>
      </c>
      <c r="AX36" s="158"/>
      <c r="BD36" s="159"/>
    </row>
    <row r="37" spans="1:62" s="22" customFormat="1">
      <c r="A37" s="132">
        <v>3690</v>
      </c>
      <c r="B37" s="132">
        <v>1458</v>
      </c>
      <c r="C37" s="22" t="s">
        <v>497</v>
      </c>
      <c r="D37" s="158">
        <f t="shared" ref="D37:O37" si="62">(D36*$A$37)+(D2*$B$37)</f>
        <v>114390</v>
      </c>
      <c r="E37" s="158">
        <f t="shared" si="62"/>
        <v>114390</v>
      </c>
      <c r="F37" s="158">
        <f t="shared" si="62"/>
        <v>142921.79999999999</v>
      </c>
      <c r="G37" s="158">
        <f t="shared" si="62"/>
        <v>367207.2</v>
      </c>
      <c r="H37" s="158">
        <f t="shared" si="62"/>
        <v>658470.6</v>
      </c>
      <c r="I37" s="158">
        <f t="shared" si="62"/>
        <v>1037668.5</v>
      </c>
      <c r="J37" s="158">
        <f t="shared" si="62"/>
        <v>1150444.8</v>
      </c>
      <c r="K37" s="158">
        <f t="shared" si="62"/>
        <v>965872.8</v>
      </c>
      <c r="L37" s="158">
        <f t="shared" si="62"/>
        <v>752629.5</v>
      </c>
      <c r="M37" s="158">
        <f t="shared" si="62"/>
        <v>408132</v>
      </c>
      <c r="N37" s="158">
        <f t="shared" si="62"/>
        <v>206098.2</v>
      </c>
      <c r="O37" s="158">
        <f t="shared" si="62"/>
        <v>116896.5</v>
      </c>
      <c r="P37" s="22">
        <f t="shared" si="61"/>
        <v>6035121.9000000004</v>
      </c>
      <c r="Q37" s="28">
        <f>A39</f>
        <v>3714</v>
      </c>
      <c r="R37" s="28">
        <f>B39</f>
        <v>1468</v>
      </c>
      <c r="S37" s="22" t="s">
        <v>497</v>
      </c>
      <c r="T37" s="158">
        <f t="shared" ref="T37:AE37" si="63">(T36*$Q$37)+(T2*$R$37)</f>
        <v>115134</v>
      </c>
      <c r="U37" s="158">
        <f t="shared" si="63"/>
        <v>115134</v>
      </c>
      <c r="V37" s="158">
        <f t="shared" si="63"/>
        <v>143862.79999999999</v>
      </c>
      <c r="W37" s="158">
        <f t="shared" si="63"/>
        <v>369685.2</v>
      </c>
      <c r="X37" s="158">
        <f t="shared" si="63"/>
        <v>662947.6</v>
      </c>
      <c r="Y37" s="158">
        <f t="shared" si="63"/>
        <v>1044745</v>
      </c>
      <c r="Z37" s="158">
        <f t="shared" si="63"/>
        <v>1158294.8</v>
      </c>
      <c r="AA37" s="158">
        <f t="shared" si="63"/>
        <v>946257</v>
      </c>
      <c r="AB37" s="158">
        <f t="shared" si="63"/>
        <v>757751</v>
      </c>
      <c r="AC37" s="158">
        <f t="shared" si="63"/>
        <v>410892</v>
      </c>
      <c r="AD37" s="158">
        <f t="shared" si="63"/>
        <v>207471.2</v>
      </c>
      <c r="AE37" s="158">
        <f t="shared" si="63"/>
        <v>117659</v>
      </c>
      <c r="AF37" s="22">
        <f t="shared" ref="AF37:AF54" si="64">SUM(T37:AE37)</f>
        <v>6049833.6000000006</v>
      </c>
      <c r="AG37" s="28">
        <f>Q39</f>
        <v>3743</v>
      </c>
      <c r="AH37" s="28">
        <f>R39</f>
        <v>1479</v>
      </c>
      <c r="AI37" s="22" t="s">
        <v>497</v>
      </c>
      <c r="AJ37" s="158">
        <f t="shared" ref="AJ37:AU37" si="65">(AJ36*$AG$37)+(AJ2*$AH$37)</f>
        <v>116033</v>
      </c>
      <c r="AK37" s="158">
        <f t="shared" si="65"/>
        <v>116033</v>
      </c>
      <c r="AL37" s="158">
        <f t="shared" si="65"/>
        <v>144975.9</v>
      </c>
      <c r="AM37" s="158">
        <f t="shared" si="65"/>
        <v>372491.6</v>
      </c>
      <c r="AN37" s="158">
        <f t="shared" si="65"/>
        <v>667950.29999999993</v>
      </c>
      <c r="AO37" s="158">
        <f t="shared" si="65"/>
        <v>1052609.75</v>
      </c>
      <c r="AP37" s="158">
        <f t="shared" si="65"/>
        <v>1167010.4000000001</v>
      </c>
      <c r="AQ37" s="158">
        <f t="shared" si="65"/>
        <v>953380.25</v>
      </c>
      <c r="AR37" s="158">
        <f t="shared" si="65"/>
        <v>763465.25</v>
      </c>
      <c r="AS37" s="158">
        <f t="shared" si="65"/>
        <v>414006</v>
      </c>
      <c r="AT37" s="158">
        <f t="shared" si="65"/>
        <v>209062.09999999998</v>
      </c>
      <c r="AU37" s="158">
        <f t="shared" si="65"/>
        <v>118575.75</v>
      </c>
      <c r="AV37" s="22">
        <f t="shared" ref="AV37:AV54" si="66">SUM(AJ37:AU37)</f>
        <v>6095593.2999999998</v>
      </c>
      <c r="AX37" s="158"/>
      <c r="AY37" s="158"/>
      <c r="AZ37" s="158"/>
      <c r="BA37" s="158"/>
      <c r="BB37" s="158"/>
      <c r="BC37" s="158"/>
      <c r="BD37" s="158"/>
      <c r="BE37" s="158"/>
      <c r="BF37" s="158"/>
      <c r="BG37" s="158"/>
      <c r="BH37" s="158"/>
      <c r="BI37" s="158"/>
    </row>
    <row r="38" spans="1:62" s="22" customFormat="1">
      <c r="A38" s="132">
        <v>24</v>
      </c>
      <c r="B38" s="132">
        <v>10</v>
      </c>
      <c r="C38" s="28" t="s">
        <v>498</v>
      </c>
      <c r="D38" s="158">
        <f t="shared" ref="D38:O38" si="67">(D36*$A$38)+(D2*$B$38)</f>
        <v>744</v>
      </c>
      <c r="E38" s="158">
        <f t="shared" si="67"/>
        <v>744</v>
      </c>
      <c r="F38" s="158">
        <f t="shared" si="67"/>
        <v>941</v>
      </c>
      <c r="G38" s="158">
        <f t="shared" si="67"/>
        <v>2478</v>
      </c>
      <c r="H38" s="158">
        <f t="shared" si="67"/>
        <v>4477</v>
      </c>
      <c r="I38" s="158">
        <f t="shared" si="67"/>
        <v>7076.5</v>
      </c>
      <c r="J38" s="158">
        <f t="shared" si="67"/>
        <v>7850</v>
      </c>
      <c r="K38" s="158">
        <f t="shared" si="67"/>
        <v>6588</v>
      </c>
      <c r="L38" s="158">
        <f t="shared" si="67"/>
        <v>5121.5</v>
      </c>
      <c r="M38" s="158">
        <f t="shared" si="67"/>
        <v>2760</v>
      </c>
      <c r="N38" s="158">
        <f t="shared" si="67"/>
        <v>1373</v>
      </c>
      <c r="O38" s="158">
        <f t="shared" si="67"/>
        <v>762.5</v>
      </c>
      <c r="P38" s="22">
        <f t="shared" si="61"/>
        <v>40915.5</v>
      </c>
      <c r="Q38" s="132">
        <v>29</v>
      </c>
      <c r="R38" s="132">
        <v>11</v>
      </c>
      <c r="S38" s="28" t="s">
        <v>498</v>
      </c>
      <c r="T38" s="158">
        <f t="shared" ref="T38:AE38" si="68">(T36*$Q$38)+(T2*$R$38)</f>
        <v>899</v>
      </c>
      <c r="U38" s="158">
        <f t="shared" si="68"/>
        <v>899</v>
      </c>
      <c r="V38" s="158">
        <f t="shared" si="68"/>
        <v>1113.0999999999999</v>
      </c>
      <c r="W38" s="158">
        <f t="shared" si="68"/>
        <v>2806.4</v>
      </c>
      <c r="X38" s="158">
        <f t="shared" si="68"/>
        <v>5002.7</v>
      </c>
      <c r="Y38" s="158">
        <f t="shared" si="68"/>
        <v>7864.75</v>
      </c>
      <c r="Z38" s="158">
        <f t="shared" si="68"/>
        <v>8715.6</v>
      </c>
      <c r="AA38" s="158">
        <f t="shared" si="68"/>
        <v>7123.25</v>
      </c>
      <c r="AB38" s="158">
        <f t="shared" si="68"/>
        <v>5714.25</v>
      </c>
      <c r="AC38" s="158">
        <f t="shared" si="68"/>
        <v>3114</v>
      </c>
      <c r="AD38" s="158">
        <f t="shared" si="68"/>
        <v>1590.9</v>
      </c>
      <c r="AE38" s="158">
        <f t="shared" si="68"/>
        <v>916.75</v>
      </c>
      <c r="AF38" s="22">
        <f t="shared" si="64"/>
        <v>45759.700000000004</v>
      </c>
      <c r="AG38" s="132">
        <v>34</v>
      </c>
      <c r="AH38" s="132">
        <v>14</v>
      </c>
      <c r="AI38" s="28" t="s">
        <v>498</v>
      </c>
      <c r="AJ38" s="158">
        <f t="shared" ref="AJ38:AU38" si="69">(AJ36*$AG$38)+(AJ2*$AH$38)</f>
        <v>1054</v>
      </c>
      <c r="AK38" s="158">
        <f t="shared" si="69"/>
        <v>1054</v>
      </c>
      <c r="AL38" s="158">
        <f t="shared" si="69"/>
        <v>1329.4</v>
      </c>
      <c r="AM38" s="158">
        <f t="shared" si="69"/>
        <v>3481.6</v>
      </c>
      <c r="AN38" s="158">
        <f t="shared" si="69"/>
        <v>6279.8</v>
      </c>
      <c r="AO38" s="158">
        <f t="shared" si="69"/>
        <v>9919.5</v>
      </c>
      <c r="AP38" s="158">
        <f t="shared" si="69"/>
        <v>11002.4</v>
      </c>
      <c r="AQ38" s="158">
        <f t="shared" si="69"/>
        <v>8984.5</v>
      </c>
      <c r="AR38" s="158">
        <f t="shared" si="69"/>
        <v>7182.5</v>
      </c>
      <c r="AS38" s="158">
        <f t="shared" si="69"/>
        <v>3876</v>
      </c>
      <c r="AT38" s="158">
        <f t="shared" si="69"/>
        <v>1934.6</v>
      </c>
      <c r="AU38" s="158">
        <f t="shared" si="69"/>
        <v>1079.5</v>
      </c>
      <c r="AV38" s="22">
        <f t="shared" si="66"/>
        <v>57177.799999999996</v>
      </c>
      <c r="AW38" s="28"/>
      <c r="AX38" s="158"/>
      <c r="AY38" s="158"/>
      <c r="AZ38" s="158"/>
      <c r="BA38" s="158"/>
      <c r="BB38" s="158"/>
      <c r="BC38" s="158"/>
      <c r="BD38" s="158"/>
      <c r="BE38" s="158"/>
      <c r="BF38" s="158"/>
      <c r="BG38" s="158"/>
      <c r="BH38" s="158"/>
      <c r="BI38" s="158"/>
    </row>
    <row r="39" spans="1:62" s="22" customFormat="1">
      <c r="A39" s="27">
        <f>A37+A38</f>
        <v>3714</v>
      </c>
      <c r="B39" s="27">
        <f>B37+B38</f>
        <v>1468</v>
      </c>
      <c r="C39" s="28" t="s">
        <v>501</v>
      </c>
      <c r="D39" s="158">
        <f>SUM(D37:D38)</f>
        <v>115134</v>
      </c>
      <c r="E39" s="158">
        <f t="shared" ref="E39:O39" si="70">SUM(E37:E38)</f>
        <v>115134</v>
      </c>
      <c r="F39" s="158">
        <f t="shared" si="70"/>
        <v>143862.79999999999</v>
      </c>
      <c r="G39" s="158">
        <f t="shared" si="70"/>
        <v>369685.2</v>
      </c>
      <c r="H39" s="158">
        <f t="shared" si="70"/>
        <v>662947.6</v>
      </c>
      <c r="I39" s="158">
        <f t="shared" si="70"/>
        <v>1044745</v>
      </c>
      <c r="J39" s="158">
        <f t="shared" si="70"/>
        <v>1158294.8</v>
      </c>
      <c r="K39" s="158">
        <f t="shared" si="70"/>
        <v>972460.8</v>
      </c>
      <c r="L39" s="158">
        <f t="shared" si="70"/>
        <v>757751</v>
      </c>
      <c r="M39" s="158">
        <f t="shared" si="70"/>
        <v>410892</v>
      </c>
      <c r="N39" s="158">
        <f t="shared" si="70"/>
        <v>207471.2</v>
      </c>
      <c r="O39" s="158">
        <f t="shared" si="70"/>
        <v>117659</v>
      </c>
      <c r="P39" s="22">
        <f t="shared" si="61"/>
        <v>6076037.4000000004</v>
      </c>
      <c r="Q39" s="27">
        <f>Q37+Q38</f>
        <v>3743</v>
      </c>
      <c r="R39" s="27">
        <f>R37+R38</f>
        <v>1479</v>
      </c>
      <c r="S39" s="28" t="s">
        <v>501</v>
      </c>
      <c r="T39" s="158">
        <f t="shared" ref="T39:AE39" si="71">SUM(T37:T38)</f>
        <v>116033</v>
      </c>
      <c r="U39" s="158">
        <f t="shared" si="71"/>
        <v>116033</v>
      </c>
      <c r="V39" s="158">
        <f t="shared" si="71"/>
        <v>144975.9</v>
      </c>
      <c r="W39" s="158">
        <f t="shared" si="71"/>
        <v>372491.60000000003</v>
      </c>
      <c r="X39" s="158">
        <f t="shared" si="71"/>
        <v>667950.29999999993</v>
      </c>
      <c r="Y39" s="158">
        <f t="shared" si="71"/>
        <v>1052609.75</v>
      </c>
      <c r="Z39" s="158">
        <f t="shared" si="71"/>
        <v>1167010.4000000001</v>
      </c>
      <c r="AA39" s="158">
        <f t="shared" si="71"/>
        <v>953380.25</v>
      </c>
      <c r="AB39" s="158">
        <f t="shared" si="71"/>
        <v>763465.25</v>
      </c>
      <c r="AC39" s="158">
        <f t="shared" si="71"/>
        <v>414006</v>
      </c>
      <c r="AD39" s="158">
        <f t="shared" si="71"/>
        <v>209062.1</v>
      </c>
      <c r="AE39" s="158">
        <f t="shared" si="71"/>
        <v>118575.75</v>
      </c>
      <c r="AF39" s="22">
        <f t="shared" si="64"/>
        <v>6095593.2999999998</v>
      </c>
      <c r="AG39" s="27">
        <f>AG37+AG38</f>
        <v>3777</v>
      </c>
      <c r="AH39" s="27">
        <f>AH37+AH38</f>
        <v>1493</v>
      </c>
      <c r="AI39" s="28" t="s">
        <v>501</v>
      </c>
      <c r="AJ39" s="158">
        <f t="shared" ref="AJ39:AU39" si="72">SUM(AJ37:AJ38)</f>
        <v>117087</v>
      </c>
      <c r="AK39" s="158">
        <f t="shared" si="72"/>
        <v>117087</v>
      </c>
      <c r="AL39" s="158">
        <f t="shared" si="72"/>
        <v>146305.29999999999</v>
      </c>
      <c r="AM39" s="158">
        <f t="shared" si="72"/>
        <v>375973.19999999995</v>
      </c>
      <c r="AN39" s="158">
        <f t="shared" si="72"/>
        <v>674230.1</v>
      </c>
      <c r="AO39" s="158">
        <f t="shared" si="72"/>
        <v>1062529.25</v>
      </c>
      <c r="AP39" s="158">
        <f t="shared" si="72"/>
        <v>1178012.8</v>
      </c>
      <c r="AQ39" s="158">
        <f t="shared" si="72"/>
        <v>962364.75</v>
      </c>
      <c r="AR39" s="158">
        <f t="shared" si="72"/>
        <v>770647.75</v>
      </c>
      <c r="AS39" s="158">
        <f t="shared" si="72"/>
        <v>417882</v>
      </c>
      <c r="AT39" s="158">
        <f t="shared" si="72"/>
        <v>210996.69999999998</v>
      </c>
      <c r="AU39" s="158">
        <f t="shared" si="72"/>
        <v>119655.25</v>
      </c>
      <c r="AV39" s="22">
        <f t="shared" si="66"/>
        <v>6152771.1000000006</v>
      </c>
      <c r="AW39" s="28"/>
      <c r="AX39" s="158"/>
      <c r="AY39" s="158"/>
      <c r="AZ39" s="158"/>
      <c r="BA39" s="158"/>
      <c r="BB39" s="158"/>
      <c r="BC39" s="158"/>
      <c r="BD39" s="158"/>
      <c r="BE39" s="158"/>
      <c r="BF39" s="158"/>
      <c r="BG39" s="158"/>
      <c r="BH39" s="158"/>
      <c r="BI39" s="158"/>
    </row>
    <row r="40" spans="1:62" s="22" customFormat="1">
      <c r="A40" s="28"/>
      <c r="B40" s="28"/>
      <c r="C40" s="28" t="s">
        <v>646</v>
      </c>
      <c r="D40" s="158">
        <f>D39</f>
        <v>115134</v>
      </c>
      <c r="E40" s="158">
        <f>D40+E39</f>
        <v>230268</v>
      </c>
      <c r="F40" s="158">
        <f t="shared" ref="F40:O40" si="73">E40+F39</f>
        <v>374130.8</v>
      </c>
      <c r="G40" s="158">
        <f t="shared" si="73"/>
        <v>743816</v>
      </c>
      <c r="H40" s="158">
        <f t="shared" si="73"/>
        <v>1406763.6</v>
      </c>
      <c r="I40" s="158">
        <f t="shared" si="73"/>
        <v>2451508.6</v>
      </c>
      <c r="J40" s="158">
        <f t="shared" si="73"/>
        <v>3609803.4000000004</v>
      </c>
      <c r="K40" s="158">
        <f t="shared" si="73"/>
        <v>4582264.2</v>
      </c>
      <c r="L40" s="158">
        <f t="shared" si="73"/>
        <v>5340015.2</v>
      </c>
      <c r="M40" s="158">
        <f>L40+M73</f>
        <v>5636049.4000000004</v>
      </c>
      <c r="N40" s="158">
        <f t="shared" si="73"/>
        <v>5843520.6000000006</v>
      </c>
      <c r="O40" s="158">
        <f t="shared" si="73"/>
        <v>5961179.6000000006</v>
      </c>
      <c r="Q40" s="131"/>
      <c r="R40" s="131"/>
      <c r="S40" s="28" t="s">
        <v>646</v>
      </c>
      <c r="T40" s="158">
        <f>T39</f>
        <v>116033</v>
      </c>
      <c r="U40" s="158">
        <f t="shared" ref="U40:AE40" si="74">T40+U39</f>
        <v>232066</v>
      </c>
      <c r="V40" s="158">
        <f t="shared" si="74"/>
        <v>377041.9</v>
      </c>
      <c r="W40" s="158">
        <f t="shared" si="74"/>
        <v>749533.5</v>
      </c>
      <c r="X40" s="158">
        <f t="shared" si="74"/>
        <v>1417483.7999999998</v>
      </c>
      <c r="Y40" s="158">
        <f t="shared" si="74"/>
        <v>2470093.5499999998</v>
      </c>
      <c r="Z40" s="158">
        <f t="shared" si="74"/>
        <v>3637103.95</v>
      </c>
      <c r="AA40" s="158">
        <f t="shared" si="74"/>
        <v>4590484.2</v>
      </c>
      <c r="AB40" s="158">
        <f t="shared" si="74"/>
        <v>5353949.45</v>
      </c>
      <c r="AC40" s="158">
        <f t="shared" si="74"/>
        <v>5767955.4500000002</v>
      </c>
      <c r="AD40" s="158">
        <f t="shared" si="74"/>
        <v>5977017.5499999998</v>
      </c>
      <c r="AE40" s="158">
        <f t="shared" si="74"/>
        <v>6095593.2999999998</v>
      </c>
      <c r="AG40" s="13"/>
      <c r="AH40" s="13"/>
      <c r="AI40" s="28" t="s">
        <v>646</v>
      </c>
      <c r="AJ40" s="158">
        <f>AJ39</f>
        <v>117087</v>
      </c>
      <c r="AK40" s="158">
        <f t="shared" ref="AK40:AU40" si="75">AJ40+AK39</f>
        <v>234174</v>
      </c>
      <c r="AL40" s="158">
        <f t="shared" si="75"/>
        <v>380479.3</v>
      </c>
      <c r="AM40" s="158">
        <f t="shared" si="75"/>
        <v>756452.5</v>
      </c>
      <c r="AN40" s="158">
        <f t="shared" si="75"/>
        <v>1430682.6</v>
      </c>
      <c r="AO40" s="158">
        <f t="shared" si="75"/>
        <v>2493211.85</v>
      </c>
      <c r="AP40" s="158">
        <f t="shared" si="75"/>
        <v>3671224.6500000004</v>
      </c>
      <c r="AQ40" s="158">
        <f t="shared" si="75"/>
        <v>4633589.4000000004</v>
      </c>
      <c r="AR40" s="158">
        <f t="shared" si="75"/>
        <v>5404237.1500000004</v>
      </c>
      <c r="AS40" s="158">
        <f t="shared" si="75"/>
        <v>5822119.1500000004</v>
      </c>
      <c r="AT40" s="158">
        <f t="shared" si="75"/>
        <v>6033115.8500000006</v>
      </c>
      <c r="AU40" s="158">
        <f t="shared" si="75"/>
        <v>6152771.1000000006</v>
      </c>
      <c r="AW40" s="28"/>
      <c r="AX40" s="158"/>
      <c r="AY40" s="158"/>
      <c r="AZ40" s="158"/>
      <c r="BA40" s="158"/>
      <c r="BB40" s="158"/>
      <c r="BC40" s="158"/>
      <c r="BD40" s="158"/>
      <c r="BE40" s="158"/>
      <c r="BF40" s="158"/>
      <c r="BG40" s="158"/>
      <c r="BH40" s="158"/>
      <c r="BI40" s="158"/>
    </row>
    <row r="41" spans="1:62" s="24" customFormat="1">
      <c r="A41" s="28"/>
      <c r="B41" s="28"/>
      <c r="C41" s="28" t="s">
        <v>737</v>
      </c>
      <c r="D41" s="272">
        <f>D39/97000</f>
        <v>1.1869484536082475</v>
      </c>
      <c r="E41" s="272">
        <f t="shared" ref="E41:O41" si="76">E39/97000</f>
        <v>1.1869484536082475</v>
      </c>
      <c r="F41" s="272">
        <f t="shared" si="76"/>
        <v>1.4831216494845361</v>
      </c>
      <c r="G41" s="272">
        <f t="shared" si="76"/>
        <v>3.8111876288659796</v>
      </c>
      <c r="H41" s="272">
        <f t="shared" si="76"/>
        <v>6.834511340206185</v>
      </c>
      <c r="I41" s="272">
        <f t="shared" si="76"/>
        <v>10.770567010309279</v>
      </c>
      <c r="J41" s="272">
        <f t="shared" si="76"/>
        <v>11.94118350515464</v>
      </c>
      <c r="K41" s="272">
        <f t="shared" si="76"/>
        <v>10.025369072164949</v>
      </c>
      <c r="L41" s="333">
        <f t="shared" si="76"/>
        <v>7.8118659793814436</v>
      </c>
      <c r="M41" s="333">
        <f>M73/97000</f>
        <v>3.0518989690721652</v>
      </c>
      <c r="N41" s="272">
        <f t="shared" si="76"/>
        <v>2.1388783505154638</v>
      </c>
      <c r="O41" s="272">
        <f t="shared" si="76"/>
        <v>1.212979381443299</v>
      </c>
      <c r="P41" s="182">
        <f>SUM(D41:O41)</f>
        <v>61.455459793814427</v>
      </c>
      <c r="Q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182"/>
      <c r="AG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182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182"/>
    </row>
    <row r="42" spans="1:62" s="22" customFormat="1">
      <c r="A42" s="132">
        <v>2655</v>
      </c>
      <c r="B42" s="132">
        <v>540</v>
      </c>
      <c r="C42" s="22" t="s">
        <v>499</v>
      </c>
      <c r="D42" s="158">
        <f t="shared" ref="D42:O42" si="77">(D36*$A$42)+(D2*$B$42)</f>
        <v>82305</v>
      </c>
      <c r="E42" s="158">
        <f t="shared" si="77"/>
        <v>82305</v>
      </c>
      <c r="F42" s="158">
        <f t="shared" si="77"/>
        <v>91584</v>
      </c>
      <c r="G42" s="158">
        <f t="shared" si="77"/>
        <v>175941</v>
      </c>
      <c r="H42" s="158">
        <f t="shared" si="77"/>
        <v>282528</v>
      </c>
      <c r="I42" s="158">
        <f t="shared" si="77"/>
        <v>424260</v>
      </c>
      <c r="J42" s="158">
        <f t="shared" si="77"/>
        <v>466029</v>
      </c>
      <c r="K42" s="158">
        <f t="shared" si="77"/>
        <v>393804</v>
      </c>
      <c r="L42" s="158">
        <f t="shared" si="77"/>
        <v>318690</v>
      </c>
      <c r="M42" s="158">
        <f t="shared" si="77"/>
        <v>189810</v>
      </c>
      <c r="N42" s="158">
        <f t="shared" si="77"/>
        <v>116271</v>
      </c>
      <c r="O42" s="158">
        <f t="shared" si="77"/>
        <v>81945</v>
      </c>
      <c r="P42" s="22">
        <f t="shared" si="61"/>
        <v>2705472</v>
      </c>
      <c r="Q42" s="28">
        <f>A44</f>
        <v>2719</v>
      </c>
      <c r="R42" s="28">
        <f>B44</f>
        <v>553</v>
      </c>
      <c r="S42" s="22" t="s">
        <v>499</v>
      </c>
      <c r="T42" s="158">
        <f t="shared" ref="T42:AE42" si="78">(T36*$Q$42)+(T2*$R$42)</f>
        <v>84289</v>
      </c>
      <c r="U42" s="158">
        <f t="shared" si="78"/>
        <v>84289</v>
      </c>
      <c r="V42" s="158">
        <f t="shared" si="78"/>
        <v>93791.3</v>
      </c>
      <c r="W42" s="158">
        <f t="shared" si="78"/>
        <v>180179.20000000001</v>
      </c>
      <c r="X42" s="158">
        <f t="shared" si="78"/>
        <v>289332.09999999998</v>
      </c>
      <c r="Y42" s="158">
        <f t="shared" si="78"/>
        <v>434476.25</v>
      </c>
      <c r="Z42" s="158">
        <f t="shared" si="78"/>
        <v>477250.8</v>
      </c>
      <c r="AA42" s="158">
        <f t="shared" si="78"/>
        <v>393415.75</v>
      </c>
      <c r="AB42" s="158">
        <f t="shared" si="78"/>
        <v>326364.75</v>
      </c>
      <c r="AC42" s="158">
        <f t="shared" si="78"/>
        <v>194382</v>
      </c>
      <c r="AD42" s="158">
        <f t="shared" si="78"/>
        <v>119072.7</v>
      </c>
      <c r="AE42" s="158">
        <f t="shared" si="78"/>
        <v>83920.25</v>
      </c>
      <c r="AF42" s="22">
        <f t="shared" si="64"/>
        <v>2760763.1000000006</v>
      </c>
      <c r="AG42" s="28">
        <f>Q44</f>
        <v>2795</v>
      </c>
      <c r="AH42" s="28">
        <f>R44</f>
        <v>569</v>
      </c>
      <c r="AI42" s="22" t="s">
        <v>499</v>
      </c>
      <c r="AJ42" s="158">
        <f t="shared" ref="AJ42:AU42" si="79">(AJ36*$AG$42)+(AJ2*$AH$42)</f>
        <v>86645</v>
      </c>
      <c r="AK42" s="158">
        <f t="shared" si="79"/>
        <v>86645</v>
      </c>
      <c r="AL42" s="158">
        <f t="shared" si="79"/>
        <v>96424.9</v>
      </c>
      <c r="AM42" s="158">
        <f t="shared" si="79"/>
        <v>185309.6</v>
      </c>
      <c r="AN42" s="158">
        <f t="shared" si="79"/>
        <v>297623.3</v>
      </c>
      <c r="AO42" s="158">
        <f t="shared" si="79"/>
        <v>446964.25</v>
      </c>
      <c r="AP42" s="158">
        <f t="shared" si="79"/>
        <v>490976.4</v>
      </c>
      <c r="AQ42" s="158">
        <f t="shared" si="79"/>
        <v>404723.75</v>
      </c>
      <c r="AR42" s="158">
        <f t="shared" si="79"/>
        <v>335724.75</v>
      </c>
      <c r="AS42" s="158">
        <f t="shared" si="79"/>
        <v>199926</v>
      </c>
      <c r="AT42" s="158">
        <f t="shared" si="79"/>
        <v>122435.1</v>
      </c>
      <c r="AU42" s="158">
        <f t="shared" si="79"/>
        <v>86268.25</v>
      </c>
      <c r="AV42" s="22">
        <f t="shared" si="66"/>
        <v>2839666.3000000003</v>
      </c>
      <c r="AX42" s="158"/>
      <c r="AY42" s="158"/>
      <c r="AZ42" s="158"/>
      <c r="BA42" s="158"/>
      <c r="BB42" s="158"/>
      <c r="BC42" s="158"/>
      <c r="BD42" s="158"/>
      <c r="BE42" s="158"/>
      <c r="BF42" s="158"/>
      <c r="BG42" s="158"/>
      <c r="BH42" s="158"/>
      <c r="BI42" s="158"/>
    </row>
    <row r="43" spans="1:62" s="22" customFormat="1">
      <c r="A43" s="132">
        <v>64</v>
      </c>
      <c r="B43" s="132">
        <v>13</v>
      </c>
      <c r="C43" s="28" t="s">
        <v>503</v>
      </c>
      <c r="D43" s="158">
        <f t="shared" ref="D43:O43" si="80">(D36*$A$43)+(D2*$B$43)</f>
        <v>1984</v>
      </c>
      <c r="E43" s="158">
        <f t="shared" si="80"/>
        <v>1984</v>
      </c>
      <c r="F43" s="158">
        <f t="shared" si="80"/>
        <v>2207.3000000000002</v>
      </c>
      <c r="G43" s="158">
        <f t="shared" si="80"/>
        <v>4238.2000000000007</v>
      </c>
      <c r="H43" s="158">
        <f t="shared" si="80"/>
        <v>6804.0999999999995</v>
      </c>
      <c r="I43" s="158">
        <f t="shared" si="80"/>
        <v>10216.25</v>
      </c>
      <c r="J43" s="158">
        <f t="shared" si="80"/>
        <v>11221.800000000001</v>
      </c>
      <c r="K43" s="158">
        <f t="shared" si="80"/>
        <v>9482.7999999999993</v>
      </c>
      <c r="L43" s="158">
        <f t="shared" si="80"/>
        <v>7674.75</v>
      </c>
      <c r="M43" s="158">
        <f t="shared" si="80"/>
        <v>4572</v>
      </c>
      <c r="N43" s="158">
        <f t="shared" si="80"/>
        <v>2801.7</v>
      </c>
      <c r="O43" s="158">
        <f t="shared" si="80"/>
        <v>1975.25</v>
      </c>
      <c r="P43" s="22">
        <f t="shared" si="61"/>
        <v>65162.149999999994</v>
      </c>
      <c r="Q43" s="132">
        <v>76</v>
      </c>
      <c r="R43" s="132">
        <v>16</v>
      </c>
      <c r="S43" s="28" t="s">
        <v>503</v>
      </c>
      <c r="T43" s="158">
        <f t="shared" ref="T43:AE43" si="81">(T36*$Q$43)+(T2*$R$43)</f>
        <v>2356</v>
      </c>
      <c r="U43" s="158">
        <f t="shared" si="81"/>
        <v>2356</v>
      </c>
      <c r="V43" s="158">
        <f t="shared" si="81"/>
        <v>2633.6</v>
      </c>
      <c r="W43" s="158">
        <f t="shared" si="81"/>
        <v>5130.3999999999996</v>
      </c>
      <c r="X43" s="158">
        <f t="shared" si="81"/>
        <v>8291.2000000000007</v>
      </c>
      <c r="Y43" s="158">
        <f t="shared" si="81"/>
        <v>12488</v>
      </c>
      <c r="Z43" s="158">
        <f t="shared" si="81"/>
        <v>13725.6</v>
      </c>
      <c r="AA43" s="158">
        <f t="shared" si="81"/>
        <v>11308</v>
      </c>
      <c r="AB43" s="158">
        <f t="shared" si="81"/>
        <v>9360</v>
      </c>
      <c r="AC43" s="158">
        <f t="shared" si="81"/>
        <v>5544</v>
      </c>
      <c r="AD43" s="158">
        <f t="shared" si="81"/>
        <v>3362.4</v>
      </c>
      <c r="AE43" s="158">
        <f t="shared" si="81"/>
        <v>2348</v>
      </c>
      <c r="AF43" s="22">
        <f t="shared" si="64"/>
        <v>78903.199999999983</v>
      </c>
      <c r="AG43" s="132">
        <v>90</v>
      </c>
      <c r="AH43" s="132">
        <v>19</v>
      </c>
      <c r="AI43" s="28" t="s">
        <v>503</v>
      </c>
      <c r="AJ43" s="158">
        <f>(AJ36*$AG$43)+(AJ2*$AH$43)</f>
        <v>2790</v>
      </c>
      <c r="AK43" s="158">
        <f t="shared" ref="AK43:AU43" si="82">(AK36*$AG$43)+(AK2*$AH$43)</f>
        <v>2790</v>
      </c>
      <c r="AL43" s="158">
        <f t="shared" si="82"/>
        <v>3119.9</v>
      </c>
      <c r="AM43" s="158">
        <f t="shared" si="82"/>
        <v>6084.6</v>
      </c>
      <c r="AN43" s="158">
        <f t="shared" si="82"/>
        <v>9838.2999999999993</v>
      </c>
      <c r="AO43" s="158">
        <f t="shared" si="82"/>
        <v>14821.75</v>
      </c>
      <c r="AP43" s="158">
        <f t="shared" si="82"/>
        <v>16291.4</v>
      </c>
      <c r="AQ43" s="158">
        <f t="shared" si="82"/>
        <v>13421.25</v>
      </c>
      <c r="AR43" s="158">
        <f t="shared" si="82"/>
        <v>11107.25</v>
      </c>
      <c r="AS43" s="158">
        <f t="shared" si="82"/>
        <v>6576</v>
      </c>
      <c r="AT43" s="158">
        <f t="shared" si="82"/>
        <v>3985.1</v>
      </c>
      <c r="AU43" s="158">
        <f t="shared" si="82"/>
        <v>2780.75</v>
      </c>
      <c r="AV43" s="22">
        <f t="shared" si="66"/>
        <v>93606.300000000017</v>
      </c>
      <c r="AW43" s="28"/>
      <c r="AX43" s="158"/>
      <c r="AY43" s="158"/>
      <c r="AZ43" s="158"/>
      <c r="BA43" s="158"/>
      <c r="BB43" s="158"/>
      <c r="BC43" s="158"/>
      <c r="BD43" s="158"/>
      <c r="BE43" s="158"/>
      <c r="BF43" s="158"/>
      <c r="BG43" s="158"/>
      <c r="BH43" s="158"/>
      <c r="BI43" s="158"/>
    </row>
    <row r="44" spans="1:62" s="22" customFormat="1">
      <c r="A44" s="27">
        <f>A42+A43</f>
        <v>2719</v>
      </c>
      <c r="B44" s="27">
        <f>B42+B43</f>
        <v>553</v>
      </c>
      <c r="C44" s="28" t="s">
        <v>502</v>
      </c>
      <c r="D44" s="158">
        <f>SUM(D42:D43)</f>
        <v>84289</v>
      </c>
      <c r="E44" s="158">
        <f t="shared" ref="E44:O44" si="83">SUM(E42:E43)</f>
        <v>84289</v>
      </c>
      <c r="F44" s="158">
        <f t="shared" si="83"/>
        <v>93791.3</v>
      </c>
      <c r="G44" s="158">
        <f t="shared" si="83"/>
        <v>180179.20000000001</v>
      </c>
      <c r="H44" s="158">
        <f t="shared" si="83"/>
        <v>289332.09999999998</v>
      </c>
      <c r="I44" s="158">
        <f t="shared" si="83"/>
        <v>434476.25</v>
      </c>
      <c r="J44" s="158">
        <f t="shared" si="83"/>
        <v>477250.8</v>
      </c>
      <c r="K44" s="158">
        <f t="shared" si="83"/>
        <v>403286.8</v>
      </c>
      <c r="L44" s="158">
        <f t="shared" si="83"/>
        <v>326364.75</v>
      </c>
      <c r="M44" s="158">
        <f t="shared" si="83"/>
        <v>194382</v>
      </c>
      <c r="N44" s="158">
        <f t="shared" si="83"/>
        <v>119072.7</v>
      </c>
      <c r="O44" s="158">
        <f t="shared" si="83"/>
        <v>83920.25</v>
      </c>
      <c r="P44" s="22">
        <f t="shared" si="61"/>
        <v>2770634.1500000004</v>
      </c>
      <c r="Q44" s="27">
        <f>Q42+Q43</f>
        <v>2795</v>
      </c>
      <c r="R44" s="27">
        <f>R42+R43</f>
        <v>569</v>
      </c>
      <c r="S44" s="28" t="s">
        <v>502</v>
      </c>
      <c r="T44" s="158">
        <f t="shared" ref="T44:AE44" si="84">SUM(T42:T43)</f>
        <v>86645</v>
      </c>
      <c r="U44" s="158">
        <f t="shared" si="84"/>
        <v>86645</v>
      </c>
      <c r="V44" s="158">
        <f t="shared" si="84"/>
        <v>96424.900000000009</v>
      </c>
      <c r="W44" s="158">
        <f t="shared" si="84"/>
        <v>185309.6</v>
      </c>
      <c r="X44" s="158">
        <f t="shared" si="84"/>
        <v>297623.3</v>
      </c>
      <c r="Y44" s="158">
        <f t="shared" si="84"/>
        <v>446964.25</v>
      </c>
      <c r="Z44" s="158">
        <f t="shared" si="84"/>
        <v>490976.39999999997</v>
      </c>
      <c r="AA44" s="158">
        <f t="shared" si="84"/>
        <v>404723.75</v>
      </c>
      <c r="AB44" s="158">
        <f t="shared" si="84"/>
        <v>335724.75</v>
      </c>
      <c r="AC44" s="158">
        <f t="shared" si="84"/>
        <v>199926</v>
      </c>
      <c r="AD44" s="158">
        <f t="shared" si="84"/>
        <v>122435.09999999999</v>
      </c>
      <c r="AE44" s="158">
        <f t="shared" si="84"/>
        <v>86268.25</v>
      </c>
      <c r="AF44" s="22">
        <f t="shared" si="64"/>
        <v>2839666.3000000003</v>
      </c>
      <c r="AG44" s="27">
        <f>AG42+AG43</f>
        <v>2885</v>
      </c>
      <c r="AH44" s="27">
        <f>AH42+AH43</f>
        <v>588</v>
      </c>
      <c r="AI44" s="28" t="s">
        <v>502</v>
      </c>
      <c r="AJ44" s="158">
        <f t="shared" ref="AJ44:AU44" si="85">SUM(AJ42:AJ43)</f>
        <v>89435</v>
      </c>
      <c r="AK44" s="158">
        <f t="shared" si="85"/>
        <v>89435</v>
      </c>
      <c r="AL44" s="158">
        <f t="shared" si="85"/>
        <v>99544.799999999988</v>
      </c>
      <c r="AM44" s="158">
        <f t="shared" si="85"/>
        <v>191394.2</v>
      </c>
      <c r="AN44" s="158">
        <f t="shared" si="85"/>
        <v>307461.59999999998</v>
      </c>
      <c r="AO44" s="158">
        <f t="shared" si="85"/>
        <v>461786</v>
      </c>
      <c r="AP44" s="158">
        <f t="shared" si="85"/>
        <v>507267.80000000005</v>
      </c>
      <c r="AQ44" s="158">
        <f t="shared" si="85"/>
        <v>418145</v>
      </c>
      <c r="AR44" s="158">
        <f t="shared" si="85"/>
        <v>346832</v>
      </c>
      <c r="AS44" s="158">
        <f t="shared" si="85"/>
        <v>206502</v>
      </c>
      <c r="AT44" s="158">
        <f t="shared" si="85"/>
        <v>126420.20000000001</v>
      </c>
      <c r="AU44" s="158">
        <f t="shared" si="85"/>
        <v>89049</v>
      </c>
      <c r="AV44" s="22">
        <f t="shared" si="66"/>
        <v>2933272.6000000006</v>
      </c>
      <c r="AW44" s="28"/>
      <c r="AX44" s="158"/>
      <c r="AY44" s="158"/>
      <c r="AZ44" s="158"/>
      <c r="BA44" s="158"/>
      <c r="BB44" s="158"/>
      <c r="BC44" s="158"/>
      <c r="BD44" s="158"/>
      <c r="BE44" s="158"/>
      <c r="BF44" s="158"/>
      <c r="BG44" s="158"/>
      <c r="BH44" s="158"/>
      <c r="BI44" s="158"/>
    </row>
    <row r="45" spans="1:62" s="22" customFormat="1">
      <c r="A45" s="28"/>
      <c r="B45" s="28"/>
      <c r="C45" s="28" t="s">
        <v>647</v>
      </c>
      <c r="D45" s="158">
        <f>D44</f>
        <v>84289</v>
      </c>
      <c r="E45" s="158">
        <f>D45+E44</f>
        <v>168578</v>
      </c>
      <c r="F45" s="158">
        <f t="shared" ref="F45:O45" si="86">E45+F44</f>
        <v>262369.3</v>
      </c>
      <c r="G45" s="158">
        <f t="shared" si="86"/>
        <v>442548.5</v>
      </c>
      <c r="H45" s="158">
        <f t="shared" si="86"/>
        <v>731880.6</v>
      </c>
      <c r="I45" s="158">
        <f t="shared" si="86"/>
        <v>1166356.8500000001</v>
      </c>
      <c r="J45" s="158">
        <f t="shared" si="86"/>
        <v>1643607.6500000001</v>
      </c>
      <c r="K45" s="158">
        <f t="shared" si="86"/>
        <v>2046894.4500000002</v>
      </c>
      <c r="L45" s="158">
        <f t="shared" si="86"/>
        <v>2373259.2000000002</v>
      </c>
      <c r="M45" s="158">
        <f t="shared" si="86"/>
        <v>2567641.2000000002</v>
      </c>
      <c r="N45" s="158">
        <f t="shared" si="86"/>
        <v>2686713.9000000004</v>
      </c>
      <c r="O45" s="158">
        <f t="shared" si="86"/>
        <v>2770634.1500000004</v>
      </c>
      <c r="Q45" s="131"/>
      <c r="R45" s="131"/>
      <c r="S45" s="28" t="s">
        <v>647</v>
      </c>
      <c r="T45" s="158">
        <f>T44</f>
        <v>86645</v>
      </c>
      <c r="U45" s="158">
        <f t="shared" ref="U45:AE45" si="87">T45+U44</f>
        <v>173290</v>
      </c>
      <c r="V45" s="158">
        <f t="shared" si="87"/>
        <v>269714.90000000002</v>
      </c>
      <c r="W45" s="158">
        <f t="shared" si="87"/>
        <v>455024.5</v>
      </c>
      <c r="X45" s="158">
        <f t="shared" si="87"/>
        <v>752647.8</v>
      </c>
      <c r="Y45" s="158">
        <f t="shared" si="87"/>
        <v>1199612.05</v>
      </c>
      <c r="Z45" s="158">
        <f t="shared" si="87"/>
        <v>1690588.45</v>
      </c>
      <c r="AA45" s="158">
        <f t="shared" si="87"/>
        <v>2095312.2</v>
      </c>
      <c r="AB45" s="158">
        <f t="shared" si="87"/>
        <v>2431036.9500000002</v>
      </c>
      <c r="AC45" s="158">
        <f t="shared" si="87"/>
        <v>2630962.9500000002</v>
      </c>
      <c r="AD45" s="158">
        <f t="shared" si="87"/>
        <v>2753398.0500000003</v>
      </c>
      <c r="AE45" s="158">
        <f t="shared" si="87"/>
        <v>2839666.3000000003</v>
      </c>
      <c r="AG45" s="131"/>
      <c r="AH45" s="131"/>
      <c r="AI45" s="28" t="s">
        <v>647</v>
      </c>
      <c r="AJ45" s="158">
        <f>AJ44</f>
        <v>89435</v>
      </c>
      <c r="AK45" s="158">
        <f t="shared" ref="AK45:AU45" si="88">AJ45+AK44</f>
        <v>178870</v>
      </c>
      <c r="AL45" s="158">
        <f t="shared" si="88"/>
        <v>278414.8</v>
      </c>
      <c r="AM45" s="158">
        <f t="shared" si="88"/>
        <v>469809</v>
      </c>
      <c r="AN45" s="158">
        <f t="shared" si="88"/>
        <v>777270.6</v>
      </c>
      <c r="AO45" s="158">
        <f t="shared" si="88"/>
        <v>1239056.6000000001</v>
      </c>
      <c r="AP45" s="158">
        <f t="shared" si="88"/>
        <v>1746324.4000000001</v>
      </c>
      <c r="AQ45" s="158">
        <f t="shared" si="88"/>
        <v>2164469.4000000004</v>
      </c>
      <c r="AR45" s="158">
        <f t="shared" si="88"/>
        <v>2511301.4000000004</v>
      </c>
      <c r="AS45" s="158">
        <f t="shared" si="88"/>
        <v>2717803.4000000004</v>
      </c>
      <c r="AT45" s="158">
        <f t="shared" si="88"/>
        <v>2844223.6000000006</v>
      </c>
      <c r="AU45" s="158">
        <f t="shared" si="88"/>
        <v>2933272.6000000006</v>
      </c>
      <c r="AW45" s="28"/>
      <c r="AX45" s="158"/>
      <c r="AY45" s="158"/>
      <c r="AZ45" s="158"/>
      <c r="BA45" s="158"/>
      <c r="BB45" s="158"/>
      <c r="BC45" s="158"/>
      <c r="BD45" s="158"/>
      <c r="BE45" s="158"/>
      <c r="BF45" s="158"/>
      <c r="BG45" s="158"/>
      <c r="BH45" s="158"/>
      <c r="BI45" s="158"/>
    </row>
    <row r="46" spans="1:62" s="22" customFormat="1">
      <c r="A46" s="132">
        <v>2022</v>
      </c>
      <c r="B46" s="132">
        <v>230</v>
      </c>
      <c r="C46" s="22" t="s">
        <v>405</v>
      </c>
      <c r="D46" s="158">
        <f t="shared" ref="D46:O46" si="89">(D36*$A$46)+(D2*$B$46)</f>
        <v>62682</v>
      </c>
      <c r="E46" s="158">
        <f t="shared" si="89"/>
        <v>62682</v>
      </c>
      <c r="F46" s="158">
        <f t="shared" si="89"/>
        <v>65743</v>
      </c>
      <c r="G46" s="158">
        <f t="shared" si="89"/>
        <v>102564</v>
      </c>
      <c r="H46" s="158">
        <f t="shared" si="89"/>
        <v>147071</v>
      </c>
      <c r="I46" s="158">
        <f t="shared" si="89"/>
        <v>208329.5</v>
      </c>
      <c r="J46" s="158">
        <f t="shared" si="89"/>
        <v>226120</v>
      </c>
      <c r="K46" s="158">
        <f t="shared" si="89"/>
        <v>192684</v>
      </c>
      <c r="L46" s="158">
        <f t="shared" si="89"/>
        <v>163364.5</v>
      </c>
      <c r="M46" s="158">
        <f t="shared" si="89"/>
        <v>107580</v>
      </c>
      <c r="N46" s="158">
        <f t="shared" si="89"/>
        <v>77149</v>
      </c>
      <c r="O46" s="158">
        <f t="shared" si="89"/>
        <v>61637.5</v>
      </c>
      <c r="P46" s="22">
        <f>SUM(D46:O46)</f>
        <v>1477606.5</v>
      </c>
      <c r="Q46" s="28">
        <f>A46</f>
        <v>2022</v>
      </c>
      <c r="R46" s="28">
        <f>B46</f>
        <v>230</v>
      </c>
      <c r="S46" s="22" t="s">
        <v>405</v>
      </c>
      <c r="T46" s="158">
        <f t="shared" ref="T46:AE46" si="90">(T36*$Q$46)+(T2*$R$46)</f>
        <v>62682</v>
      </c>
      <c r="U46" s="158">
        <f t="shared" si="90"/>
        <v>62682</v>
      </c>
      <c r="V46" s="158">
        <f t="shared" si="90"/>
        <v>65743</v>
      </c>
      <c r="W46" s="158">
        <f t="shared" si="90"/>
        <v>102564</v>
      </c>
      <c r="X46" s="158">
        <f t="shared" si="90"/>
        <v>147071</v>
      </c>
      <c r="Y46" s="158">
        <f t="shared" si="90"/>
        <v>208329.5</v>
      </c>
      <c r="Z46" s="158">
        <f t="shared" si="90"/>
        <v>226120</v>
      </c>
      <c r="AA46" s="158">
        <f t="shared" si="90"/>
        <v>188578.5</v>
      </c>
      <c r="AB46" s="158">
        <f t="shared" si="90"/>
        <v>163364.5</v>
      </c>
      <c r="AC46" s="158">
        <f t="shared" si="90"/>
        <v>107580</v>
      </c>
      <c r="AD46" s="158">
        <f t="shared" si="90"/>
        <v>77149</v>
      </c>
      <c r="AE46" s="158">
        <f t="shared" si="90"/>
        <v>61637.5</v>
      </c>
      <c r="AF46" s="22">
        <f>SUM(T46:AE46)</f>
        <v>1473501</v>
      </c>
      <c r="AG46" s="28">
        <f>Q46</f>
        <v>2022</v>
      </c>
      <c r="AH46" s="28">
        <f>R46</f>
        <v>230</v>
      </c>
      <c r="AI46" s="22" t="s">
        <v>405</v>
      </c>
      <c r="AJ46" s="158">
        <f t="shared" ref="AJ46:AU46" si="91">(AJ36*$Q$46)+(AJ2*$R$46)</f>
        <v>62682</v>
      </c>
      <c r="AK46" s="158">
        <f t="shared" si="91"/>
        <v>62682</v>
      </c>
      <c r="AL46" s="158">
        <f t="shared" si="91"/>
        <v>65743</v>
      </c>
      <c r="AM46" s="158">
        <f t="shared" si="91"/>
        <v>102564</v>
      </c>
      <c r="AN46" s="158">
        <f t="shared" si="91"/>
        <v>147071</v>
      </c>
      <c r="AO46" s="158">
        <f t="shared" si="91"/>
        <v>208329.5</v>
      </c>
      <c r="AP46" s="158">
        <f t="shared" si="91"/>
        <v>226120</v>
      </c>
      <c r="AQ46" s="158">
        <f t="shared" si="91"/>
        <v>188578.5</v>
      </c>
      <c r="AR46" s="158">
        <f t="shared" si="91"/>
        <v>163364.5</v>
      </c>
      <c r="AS46" s="158">
        <f t="shared" si="91"/>
        <v>107580</v>
      </c>
      <c r="AT46" s="158">
        <f t="shared" si="91"/>
        <v>77149</v>
      </c>
      <c r="AU46" s="158">
        <f t="shared" si="91"/>
        <v>61637.5</v>
      </c>
      <c r="AV46" s="22">
        <f>SUM(AJ46:AU46)</f>
        <v>1473501</v>
      </c>
      <c r="AX46" s="158"/>
      <c r="AY46" s="158"/>
      <c r="AZ46" s="158"/>
      <c r="BA46" s="158"/>
      <c r="BB46" s="158"/>
      <c r="BC46" s="158"/>
      <c r="BD46" s="158"/>
      <c r="BE46" s="158"/>
      <c r="BF46" s="158"/>
      <c r="BG46" s="158"/>
      <c r="BH46" s="158"/>
      <c r="BI46" s="158"/>
    </row>
    <row r="47" spans="1:62" s="22" customFormat="1">
      <c r="A47" s="28"/>
      <c r="B47" s="28"/>
      <c r="C47" s="22" t="s">
        <v>648</v>
      </c>
      <c r="D47" s="158">
        <f>D46</f>
        <v>62682</v>
      </c>
      <c r="E47" s="158">
        <f>D47+E46</f>
        <v>125364</v>
      </c>
      <c r="F47" s="158">
        <f t="shared" ref="F47:O47" si="92">E47+F46</f>
        <v>191107</v>
      </c>
      <c r="G47" s="158">
        <f t="shared" si="92"/>
        <v>293671</v>
      </c>
      <c r="H47" s="158">
        <f t="shared" si="92"/>
        <v>440742</v>
      </c>
      <c r="I47" s="158">
        <f t="shared" si="92"/>
        <v>649071.5</v>
      </c>
      <c r="J47" s="158">
        <f t="shared" si="92"/>
        <v>875191.5</v>
      </c>
      <c r="K47" s="158">
        <f t="shared" si="92"/>
        <v>1067875.5</v>
      </c>
      <c r="L47" s="158">
        <f t="shared" si="92"/>
        <v>1231240</v>
      </c>
      <c r="M47" s="158">
        <f t="shared" si="92"/>
        <v>1338820</v>
      </c>
      <c r="N47" s="158">
        <f t="shared" si="92"/>
        <v>1415969</v>
      </c>
      <c r="O47" s="158">
        <f t="shared" si="92"/>
        <v>1477606.5</v>
      </c>
      <c r="Q47" s="131"/>
      <c r="R47" s="131"/>
      <c r="S47" s="22" t="s">
        <v>648</v>
      </c>
      <c r="T47" s="158">
        <f>T46</f>
        <v>62682</v>
      </c>
      <c r="U47" s="158">
        <f t="shared" ref="U47:AE47" si="93">T47+U46</f>
        <v>125364</v>
      </c>
      <c r="V47" s="158">
        <f t="shared" si="93"/>
        <v>191107</v>
      </c>
      <c r="W47" s="158">
        <f t="shared" si="93"/>
        <v>293671</v>
      </c>
      <c r="X47" s="158">
        <f t="shared" si="93"/>
        <v>440742</v>
      </c>
      <c r="Y47" s="158">
        <f t="shared" si="93"/>
        <v>649071.5</v>
      </c>
      <c r="Z47" s="158">
        <f t="shared" si="93"/>
        <v>875191.5</v>
      </c>
      <c r="AA47" s="158">
        <f t="shared" si="93"/>
        <v>1063770</v>
      </c>
      <c r="AB47" s="158">
        <f t="shared" si="93"/>
        <v>1227134.5</v>
      </c>
      <c r="AC47" s="158">
        <f t="shared" si="93"/>
        <v>1334714.5</v>
      </c>
      <c r="AD47" s="158">
        <f t="shared" si="93"/>
        <v>1411863.5</v>
      </c>
      <c r="AE47" s="158">
        <f t="shared" si="93"/>
        <v>1473501</v>
      </c>
      <c r="AG47" s="131"/>
      <c r="AH47" s="131"/>
      <c r="AI47" s="22" t="s">
        <v>648</v>
      </c>
      <c r="AJ47" s="158">
        <f>AJ46</f>
        <v>62682</v>
      </c>
      <c r="AK47" s="158">
        <f t="shared" ref="AK47:AU47" si="94">AJ47+AK46</f>
        <v>125364</v>
      </c>
      <c r="AL47" s="158">
        <f t="shared" si="94"/>
        <v>191107</v>
      </c>
      <c r="AM47" s="158">
        <f t="shared" si="94"/>
        <v>293671</v>
      </c>
      <c r="AN47" s="158">
        <f t="shared" si="94"/>
        <v>440742</v>
      </c>
      <c r="AO47" s="158">
        <f t="shared" si="94"/>
        <v>649071.5</v>
      </c>
      <c r="AP47" s="158">
        <f t="shared" si="94"/>
        <v>875191.5</v>
      </c>
      <c r="AQ47" s="158">
        <f t="shared" si="94"/>
        <v>1063770</v>
      </c>
      <c r="AR47" s="158">
        <f t="shared" si="94"/>
        <v>1227134.5</v>
      </c>
      <c r="AS47" s="158">
        <f t="shared" si="94"/>
        <v>1334714.5</v>
      </c>
      <c r="AT47" s="158">
        <f t="shared" si="94"/>
        <v>1411863.5</v>
      </c>
      <c r="AU47" s="158">
        <f t="shared" si="94"/>
        <v>1473501</v>
      </c>
      <c r="AX47" s="158"/>
      <c r="AY47" s="158"/>
      <c r="AZ47" s="158"/>
      <c r="BA47" s="158"/>
      <c r="BB47" s="158"/>
      <c r="BC47" s="158"/>
      <c r="BD47" s="158"/>
      <c r="BE47" s="158"/>
      <c r="BF47" s="158"/>
      <c r="BG47" s="158"/>
      <c r="BH47" s="158"/>
      <c r="BI47" s="158"/>
    </row>
    <row r="48" spans="1:62" s="22" customFormat="1">
      <c r="A48" s="132">
        <v>114</v>
      </c>
      <c r="B48" s="132">
        <v>62</v>
      </c>
      <c r="C48" s="22" t="s">
        <v>500</v>
      </c>
      <c r="D48" s="158">
        <f t="shared" ref="D48:O48" si="95">(D36*$A$48)+(D2*$B$48)</f>
        <v>3534</v>
      </c>
      <c r="E48" s="158">
        <f t="shared" si="95"/>
        <v>3534</v>
      </c>
      <c r="F48" s="158">
        <f t="shared" si="95"/>
        <v>4790.2</v>
      </c>
      <c r="G48" s="158">
        <f t="shared" si="95"/>
        <v>14284.800000000001</v>
      </c>
      <c r="H48" s="158">
        <f t="shared" si="95"/>
        <v>26713.399999999998</v>
      </c>
      <c r="I48" s="158">
        <f t="shared" si="95"/>
        <v>42795.5</v>
      </c>
      <c r="J48" s="158">
        <f t="shared" si="95"/>
        <v>47591.200000000004</v>
      </c>
      <c r="K48" s="158">
        <f t="shared" si="95"/>
        <v>39871.200000000004</v>
      </c>
      <c r="L48" s="158">
        <f t="shared" si="95"/>
        <v>30674.5</v>
      </c>
      <c r="M48" s="158">
        <f t="shared" si="95"/>
        <v>16068</v>
      </c>
      <c r="N48" s="158">
        <f t="shared" si="95"/>
        <v>7433.7999999999993</v>
      </c>
      <c r="O48" s="158">
        <f t="shared" si="95"/>
        <v>3683.5</v>
      </c>
      <c r="P48" s="22">
        <f t="shared" si="61"/>
        <v>240974.1</v>
      </c>
      <c r="Q48" s="28">
        <f>A48</f>
        <v>114</v>
      </c>
      <c r="R48" s="28">
        <f>B48</f>
        <v>62</v>
      </c>
      <c r="S48" s="22" t="s">
        <v>500</v>
      </c>
      <c r="T48" s="158">
        <f t="shared" ref="T48:AE48" si="96">(T36*$Q$48)+(T2*$R$48)</f>
        <v>3534</v>
      </c>
      <c r="U48" s="158">
        <f t="shared" si="96"/>
        <v>3534</v>
      </c>
      <c r="V48" s="158">
        <f t="shared" si="96"/>
        <v>4790.2</v>
      </c>
      <c r="W48" s="158">
        <f t="shared" si="96"/>
        <v>14284.800000000001</v>
      </c>
      <c r="X48" s="158">
        <f t="shared" si="96"/>
        <v>26713.399999999998</v>
      </c>
      <c r="Y48" s="158">
        <f t="shared" si="96"/>
        <v>42795.5</v>
      </c>
      <c r="Z48" s="158">
        <f t="shared" si="96"/>
        <v>47591.200000000004</v>
      </c>
      <c r="AA48" s="158">
        <f t="shared" si="96"/>
        <v>38764.5</v>
      </c>
      <c r="AB48" s="158">
        <f t="shared" si="96"/>
        <v>30674.5</v>
      </c>
      <c r="AC48" s="158">
        <f t="shared" si="96"/>
        <v>16068</v>
      </c>
      <c r="AD48" s="158">
        <f t="shared" si="96"/>
        <v>7433.7999999999993</v>
      </c>
      <c r="AE48" s="158">
        <f t="shared" si="96"/>
        <v>3683.5</v>
      </c>
      <c r="AF48" s="22">
        <f t="shared" si="64"/>
        <v>239867.4</v>
      </c>
      <c r="AG48" s="28">
        <f>Q48</f>
        <v>114</v>
      </c>
      <c r="AH48" s="28">
        <f>R48</f>
        <v>62</v>
      </c>
      <c r="AI48" s="22" t="s">
        <v>500</v>
      </c>
      <c r="AJ48" s="158">
        <f t="shared" ref="AJ48:AU48" si="97">(AJ36*$Q$48)+(AJ2*$R$48)</f>
        <v>3534</v>
      </c>
      <c r="AK48" s="158">
        <f t="shared" si="97"/>
        <v>3534</v>
      </c>
      <c r="AL48" s="158">
        <f t="shared" si="97"/>
        <v>4790.2</v>
      </c>
      <c r="AM48" s="158">
        <f t="shared" si="97"/>
        <v>14284.800000000001</v>
      </c>
      <c r="AN48" s="158">
        <f t="shared" si="97"/>
        <v>26713.399999999998</v>
      </c>
      <c r="AO48" s="158">
        <f t="shared" si="97"/>
        <v>42795.5</v>
      </c>
      <c r="AP48" s="158">
        <f t="shared" si="97"/>
        <v>47591.200000000004</v>
      </c>
      <c r="AQ48" s="158">
        <f t="shared" si="97"/>
        <v>38764.5</v>
      </c>
      <c r="AR48" s="158">
        <f t="shared" si="97"/>
        <v>30674.5</v>
      </c>
      <c r="AS48" s="158">
        <f t="shared" si="97"/>
        <v>16068</v>
      </c>
      <c r="AT48" s="158">
        <f t="shared" si="97"/>
        <v>7433.7999999999993</v>
      </c>
      <c r="AU48" s="158">
        <f t="shared" si="97"/>
        <v>3683.5</v>
      </c>
      <c r="AV48" s="22">
        <f t="shared" si="66"/>
        <v>239867.4</v>
      </c>
      <c r="AX48" s="158"/>
      <c r="AY48" s="158"/>
      <c r="AZ48" s="158"/>
      <c r="BA48" s="158"/>
      <c r="BB48" s="158"/>
      <c r="BC48" s="158"/>
      <c r="BD48" s="158"/>
      <c r="BE48" s="158"/>
      <c r="BF48" s="158"/>
      <c r="BG48" s="158"/>
      <c r="BH48" s="158"/>
      <c r="BI48" s="158"/>
    </row>
    <row r="49" spans="1:62" s="22" customFormat="1">
      <c r="A49" s="28"/>
      <c r="B49" s="28"/>
      <c r="C49" s="22" t="s">
        <v>649</v>
      </c>
      <c r="D49" s="158">
        <f>D48</f>
        <v>3534</v>
      </c>
      <c r="E49" s="158">
        <f>D49+E48</f>
        <v>7068</v>
      </c>
      <c r="F49" s="158">
        <f t="shared" ref="F49:O49" si="98">E49+F48</f>
        <v>11858.2</v>
      </c>
      <c r="G49" s="158">
        <f t="shared" si="98"/>
        <v>26143</v>
      </c>
      <c r="H49" s="158">
        <f t="shared" si="98"/>
        <v>52856.399999999994</v>
      </c>
      <c r="I49" s="158">
        <f t="shared" si="98"/>
        <v>95651.9</v>
      </c>
      <c r="J49" s="158">
        <f t="shared" si="98"/>
        <v>143243.1</v>
      </c>
      <c r="K49" s="158">
        <f t="shared" si="98"/>
        <v>183114.30000000002</v>
      </c>
      <c r="L49" s="158">
        <f t="shared" si="98"/>
        <v>213788.80000000002</v>
      </c>
      <c r="M49" s="158">
        <f t="shared" si="98"/>
        <v>229856.80000000002</v>
      </c>
      <c r="N49" s="158">
        <f t="shared" si="98"/>
        <v>237290.6</v>
      </c>
      <c r="O49" s="158">
        <f t="shared" si="98"/>
        <v>240974.1</v>
      </c>
      <c r="Q49" s="131"/>
      <c r="R49" s="131"/>
      <c r="S49" s="22" t="s">
        <v>649</v>
      </c>
      <c r="T49" s="158">
        <f>T48</f>
        <v>3534</v>
      </c>
      <c r="U49" s="158">
        <f t="shared" ref="U49:AE49" si="99">T49+U48</f>
        <v>7068</v>
      </c>
      <c r="V49" s="158">
        <f t="shared" si="99"/>
        <v>11858.2</v>
      </c>
      <c r="W49" s="158">
        <f t="shared" si="99"/>
        <v>26143</v>
      </c>
      <c r="X49" s="158">
        <f t="shared" si="99"/>
        <v>52856.399999999994</v>
      </c>
      <c r="Y49" s="158">
        <f t="shared" si="99"/>
        <v>95651.9</v>
      </c>
      <c r="Z49" s="158">
        <f t="shared" si="99"/>
        <v>143243.1</v>
      </c>
      <c r="AA49" s="158">
        <f t="shared" si="99"/>
        <v>182007.6</v>
      </c>
      <c r="AB49" s="158">
        <f t="shared" si="99"/>
        <v>212682.1</v>
      </c>
      <c r="AC49" s="158">
        <f t="shared" si="99"/>
        <v>228750.1</v>
      </c>
      <c r="AD49" s="158">
        <f t="shared" si="99"/>
        <v>236183.9</v>
      </c>
      <c r="AE49" s="158">
        <f t="shared" si="99"/>
        <v>239867.4</v>
      </c>
      <c r="AG49" s="131"/>
      <c r="AH49" s="131"/>
      <c r="AI49" s="22" t="s">
        <v>649</v>
      </c>
      <c r="AJ49" s="158">
        <f>AJ48</f>
        <v>3534</v>
      </c>
      <c r="AK49" s="158">
        <f t="shared" ref="AK49:AU49" si="100">AJ49+AK48</f>
        <v>7068</v>
      </c>
      <c r="AL49" s="158">
        <f t="shared" si="100"/>
        <v>11858.2</v>
      </c>
      <c r="AM49" s="158">
        <f t="shared" si="100"/>
        <v>26143</v>
      </c>
      <c r="AN49" s="158">
        <f t="shared" si="100"/>
        <v>52856.399999999994</v>
      </c>
      <c r="AO49" s="158">
        <f t="shared" si="100"/>
        <v>95651.9</v>
      </c>
      <c r="AP49" s="158">
        <f t="shared" si="100"/>
        <v>143243.1</v>
      </c>
      <c r="AQ49" s="158">
        <f t="shared" si="100"/>
        <v>182007.6</v>
      </c>
      <c r="AR49" s="158">
        <f t="shared" si="100"/>
        <v>212682.1</v>
      </c>
      <c r="AS49" s="158">
        <f t="shared" si="100"/>
        <v>228750.1</v>
      </c>
      <c r="AT49" s="158">
        <f t="shared" si="100"/>
        <v>236183.9</v>
      </c>
      <c r="AU49" s="158">
        <f t="shared" si="100"/>
        <v>239867.4</v>
      </c>
      <c r="AX49" s="158"/>
      <c r="AY49" s="158"/>
      <c r="AZ49" s="158"/>
      <c r="BA49" s="158"/>
      <c r="BB49" s="158"/>
      <c r="BC49" s="158"/>
      <c r="BD49" s="158"/>
      <c r="BE49" s="158"/>
      <c r="BF49" s="158"/>
      <c r="BG49" s="158"/>
      <c r="BH49" s="158"/>
      <c r="BI49" s="158"/>
    </row>
    <row r="50" spans="1:62" s="22" customFormat="1">
      <c r="A50" s="131"/>
      <c r="B50" s="131"/>
      <c r="C50" s="28" t="s">
        <v>406</v>
      </c>
      <c r="D50" s="158">
        <f t="shared" ref="D50:O50" si="101">SUM(D37,D42,D48,D46)</f>
        <v>262911</v>
      </c>
      <c r="E50" s="158">
        <f t="shared" si="101"/>
        <v>262911</v>
      </c>
      <c r="F50" s="158">
        <f t="shared" si="101"/>
        <v>305039</v>
      </c>
      <c r="G50" s="158">
        <f t="shared" si="101"/>
        <v>659997</v>
      </c>
      <c r="H50" s="158">
        <f t="shared" si="101"/>
        <v>1114783</v>
      </c>
      <c r="I50" s="158">
        <f t="shared" si="101"/>
        <v>1713053.5</v>
      </c>
      <c r="J50" s="158">
        <f t="shared" si="101"/>
        <v>1890185</v>
      </c>
      <c r="K50" s="158">
        <f t="shared" si="101"/>
        <v>1592232</v>
      </c>
      <c r="L50" s="158">
        <f t="shared" si="101"/>
        <v>1265358.5</v>
      </c>
      <c r="M50" s="158">
        <f t="shared" si="101"/>
        <v>721590</v>
      </c>
      <c r="N50" s="158">
        <f t="shared" si="101"/>
        <v>406952</v>
      </c>
      <c r="O50" s="158">
        <f t="shared" si="101"/>
        <v>264162.5</v>
      </c>
      <c r="P50" s="22">
        <f t="shared" si="61"/>
        <v>10459174.5</v>
      </c>
      <c r="Q50" s="131"/>
      <c r="R50" s="131"/>
      <c r="S50" s="28" t="s">
        <v>406</v>
      </c>
      <c r="T50" s="158">
        <f t="shared" ref="T50:AE50" si="102">SUM(T37,T42,T48,T46)</f>
        <v>265639</v>
      </c>
      <c r="U50" s="158">
        <f t="shared" si="102"/>
        <v>265639</v>
      </c>
      <c r="V50" s="158">
        <f t="shared" si="102"/>
        <v>308187.3</v>
      </c>
      <c r="W50" s="158">
        <f t="shared" si="102"/>
        <v>666713.20000000007</v>
      </c>
      <c r="X50" s="158">
        <f t="shared" si="102"/>
        <v>1126064.1000000001</v>
      </c>
      <c r="Y50" s="158">
        <f t="shared" si="102"/>
        <v>1730346.25</v>
      </c>
      <c r="Z50" s="158">
        <f t="shared" si="102"/>
        <v>1909256.8</v>
      </c>
      <c r="AA50" s="158">
        <f t="shared" si="102"/>
        <v>1567015.75</v>
      </c>
      <c r="AB50" s="158">
        <f t="shared" si="102"/>
        <v>1278154.75</v>
      </c>
      <c r="AC50" s="158">
        <f t="shared" si="102"/>
        <v>728922</v>
      </c>
      <c r="AD50" s="158">
        <f t="shared" si="102"/>
        <v>411126.7</v>
      </c>
      <c r="AE50" s="158">
        <f t="shared" si="102"/>
        <v>266900.25</v>
      </c>
      <c r="AF50" s="22">
        <f t="shared" si="64"/>
        <v>10523965.099999998</v>
      </c>
      <c r="AG50" s="131"/>
      <c r="AH50" s="131"/>
      <c r="AI50" s="28" t="s">
        <v>406</v>
      </c>
      <c r="AJ50" s="158">
        <f t="shared" ref="AJ50:AU50" si="103">SUM(AJ37,AJ42,AJ48,AJ46)</f>
        <v>268894</v>
      </c>
      <c r="AK50" s="158">
        <f t="shared" si="103"/>
        <v>268894</v>
      </c>
      <c r="AL50" s="158">
        <f t="shared" si="103"/>
        <v>311934</v>
      </c>
      <c r="AM50" s="158">
        <f t="shared" si="103"/>
        <v>674650</v>
      </c>
      <c r="AN50" s="158">
        <f t="shared" si="103"/>
        <v>1139358</v>
      </c>
      <c r="AO50" s="158">
        <f t="shared" si="103"/>
        <v>1750699</v>
      </c>
      <c r="AP50" s="158">
        <f t="shared" si="103"/>
        <v>1931698.0000000002</v>
      </c>
      <c r="AQ50" s="158">
        <f t="shared" si="103"/>
        <v>1585447</v>
      </c>
      <c r="AR50" s="158">
        <f t="shared" si="103"/>
        <v>1293229</v>
      </c>
      <c r="AS50" s="158">
        <f t="shared" si="103"/>
        <v>737580</v>
      </c>
      <c r="AT50" s="158">
        <f t="shared" si="103"/>
        <v>416079.99999999994</v>
      </c>
      <c r="AU50" s="158">
        <f t="shared" si="103"/>
        <v>270165</v>
      </c>
      <c r="AV50" s="22">
        <f t="shared" si="66"/>
        <v>10648628</v>
      </c>
      <c r="AW50" s="28"/>
      <c r="AX50" s="158"/>
      <c r="AY50" s="158"/>
      <c r="AZ50" s="158"/>
      <c r="BA50" s="158"/>
      <c r="BB50" s="158"/>
      <c r="BC50" s="158"/>
      <c r="BD50" s="158"/>
      <c r="BE50" s="158"/>
      <c r="BF50" s="158"/>
      <c r="BG50" s="158"/>
      <c r="BH50" s="158"/>
      <c r="BI50" s="158"/>
    </row>
    <row r="51" spans="1:62" s="22" customFormat="1">
      <c r="A51" s="293">
        <f>SUM(A38,A43)</f>
        <v>88</v>
      </c>
      <c r="B51" s="293">
        <f>SUM(B38,B43)</f>
        <v>23</v>
      </c>
      <c r="C51" s="28" t="s">
        <v>407</v>
      </c>
      <c r="D51" s="158">
        <f>SUM(D38,D43)</f>
        <v>2728</v>
      </c>
      <c r="E51" s="158">
        <f t="shared" ref="E51:O51" si="104">SUM(E38,E43)</f>
        <v>2728</v>
      </c>
      <c r="F51" s="158">
        <f t="shared" si="104"/>
        <v>3148.3</v>
      </c>
      <c r="G51" s="158">
        <f t="shared" si="104"/>
        <v>6716.2000000000007</v>
      </c>
      <c r="H51" s="158">
        <f t="shared" si="104"/>
        <v>11281.099999999999</v>
      </c>
      <c r="I51" s="158">
        <f t="shared" si="104"/>
        <v>17292.75</v>
      </c>
      <c r="J51" s="158">
        <f t="shared" si="104"/>
        <v>19071.800000000003</v>
      </c>
      <c r="K51" s="158">
        <f t="shared" si="104"/>
        <v>16070.8</v>
      </c>
      <c r="L51" s="158">
        <f t="shared" si="104"/>
        <v>12796.25</v>
      </c>
      <c r="M51" s="158">
        <f t="shared" si="104"/>
        <v>7332</v>
      </c>
      <c r="N51" s="158">
        <f t="shared" si="104"/>
        <v>4174.7</v>
      </c>
      <c r="O51" s="158">
        <f t="shared" si="104"/>
        <v>2737.75</v>
      </c>
      <c r="P51" s="22">
        <f t="shared" si="61"/>
        <v>106077.65</v>
      </c>
      <c r="Q51" s="293">
        <f>SUM(Q38,Q43)</f>
        <v>105</v>
      </c>
      <c r="R51" s="293">
        <f>SUM(R38,R43)</f>
        <v>27</v>
      </c>
      <c r="S51" s="28" t="s">
        <v>407</v>
      </c>
      <c r="T51" s="158">
        <f>SUM(T38,T43)</f>
        <v>3255</v>
      </c>
      <c r="U51" s="158">
        <f t="shared" ref="U51:AE51" si="105">SUM(U38,U43)</f>
        <v>3255</v>
      </c>
      <c r="V51" s="158">
        <f t="shared" si="105"/>
        <v>3746.7</v>
      </c>
      <c r="W51" s="158">
        <f t="shared" si="105"/>
        <v>7936.7999999999993</v>
      </c>
      <c r="X51" s="158">
        <f t="shared" si="105"/>
        <v>13293.900000000001</v>
      </c>
      <c r="Y51" s="158">
        <f t="shared" si="105"/>
        <v>20352.75</v>
      </c>
      <c r="Z51" s="158">
        <f t="shared" si="105"/>
        <v>22441.200000000001</v>
      </c>
      <c r="AA51" s="158">
        <f t="shared" si="105"/>
        <v>18431.25</v>
      </c>
      <c r="AB51" s="158">
        <f t="shared" si="105"/>
        <v>15074.25</v>
      </c>
      <c r="AC51" s="158">
        <f t="shared" si="105"/>
        <v>8658</v>
      </c>
      <c r="AD51" s="158">
        <f t="shared" si="105"/>
        <v>4953.3</v>
      </c>
      <c r="AE51" s="158">
        <f t="shared" si="105"/>
        <v>3264.75</v>
      </c>
      <c r="AF51" s="22">
        <f t="shared" si="64"/>
        <v>124662.90000000001</v>
      </c>
      <c r="AG51" s="293">
        <f>SUM(AG38,AG43)</f>
        <v>124</v>
      </c>
      <c r="AH51" s="293">
        <f>SUM(AH38,AH43)</f>
        <v>33</v>
      </c>
      <c r="AI51" s="28" t="s">
        <v>407</v>
      </c>
      <c r="AJ51" s="158">
        <f>SUM(AJ38,AJ43)</f>
        <v>3844</v>
      </c>
      <c r="AK51" s="158">
        <f t="shared" ref="AK51:AU51" si="106">SUM(AK38,AK43)</f>
        <v>3844</v>
      </c>
      <c r="AL51" s="158">
        <f t="shared" si="106"/>
        <v>4449.3</v>
      </c>
      <c r="AM51" s="158">
        <f t="shared" si="106"/>
        <v>9566.2000000000007</v>
      </c>
      <c r="AN51" s="158">
        <f t="shared" si="106"/>
        <v>16118.099999999999</v>
      </c>
      <c r="AO51" s="158">
        <f t="shared" si="106"/>
        <v>24741.25</v>
      </c>
      <c r="AP51" s="158">
        <f t="shared" si="106"/>
        <v>27293.8</v>
      </c>
      <c r="AQ51" s="158">
        <f t="shared" si="106"/>
        <v>22405.75</v>
      </c>
      <c r="AR51" s="158">
        <f t="shared" si="106"/>
        <v>18289.75</v>
      </c>
      <c r="AS51" s="158">
        <f t="shared" si="106"/>
        <v>10452</v>
      </c>
      <c r="AT51" s="158">
        <f t="shared" si="106"/>
        <v>5919.7</v>
      </c>
      <c r="AU51" s="158">
        <f t="shared" si="106"/>
        <v>3860.25</v>
      </c>
      <c r="AV51" s="22">
        <f t="shared" si="66"/>
        <v>150784.1</v>
      </c>
      <c r="AW51" s="28"/>
      <c r="AX51" s="158"/>
      <c r="AY51" s="158"/>
      <c r="AZ51" s="158"/>
      <c r="BA51" s="158"/>
      <c r="BB51" s="158"/>
      <c r="BC51" s="158"/>
      <c r="BD51" s="158"/>
      <c r="BE51" s="158"/>
      <c r="BF51" s="158"/>
      <c r="BG51" s="158"/>
      <c r="BH51" s="158"/>
      <c r="BI51" s="158"/>
    </row>
    <row r="52" spans="1:62" s="22" customFormat="1">
      <c r="A52" s="143">
        <f>SUM(A39,A44,A48,A46)</f>
        <v>8569</v>
      </c>
      <c r="B52" s="143">
        <f>SUM(B39,B44,B48,B46)</f>
        <v>2313</v>
      </c>
      <c r="C52" s="27" t="s">
        <v>408</v>
      </c>
      <c r="D52" s="158">
        <f>SUM(D50:D51)</f>
        <v>265639</v>
      </c>
      <c r="E52" s="158">
        <f t="shared" ref="E52:O52" si="107">SUM(E50:E51)</f>
        <v>265639</v>
      </c>
      <c r="F52" s="158">
        <f t="shared" si="107"/>
        <v>308187.3</v>
      </c>
      <c r="G52" s="158">
        <f t="shared" si="107"/>
        <v>666713.19999999995</v>
      </c>
      <c r="H52" s="158">
        <f t="shared" si="107"/>
        <v>1126064.1000000001</v>
      </c>
      <c r="I52" s="158">
        <f t="shared" si="107"/>
        <v>1730346.25</v>
      </c>
      <c r="J52" s="158">
        <f t="shared" si="107"/>
        <v>1909256.8</v>
      </c>
      <c r="K52" s="158">
        <f t="shared" si="107"/>
        <v>1608302.8</v>
      </c>
      <c r="L52" s="158">
        <f t="shared" si="107"/>
        <v>1278154.75</v>
      </c>
      <c r="M52" s="158">
        <f t="shared" si="107"/>
        <v>728922</v>
      </c>
      <c r="N52" s="158">
        <f t="shared" si="107"/>
        <v>411126.7</v>
      </c>
      <c r="O52" s="158">
        <f t="shared" si="107"/>
        <v>266900.25</v>
      </c>
      <c r="P52" s="143">
        <f t="shared" si="61"/>
        <v>10565252.149999999</v>
      </c>
      <c r="Q52" s="143">
        <f>SUM(Q39,Q44,Q48,Q46)</f>
        <v>8674</v>
      </c>
      <c r="R52" s="143">
        <f>SUM(R39,R44,R48,R46)</f>
        <v>2340</v>
      </c>
      <c r="S52" s="27" t="s">
        <v>408</v>
      </c>
      <c r="T52" s="158">
        <f t="shared" ref="T52:AE52" si="108">SUM(T50:T51)</f>
        <v>268894</v>
      </c>
      <c r="U52" s="158">
        <f t="shared" si="108"/>
        <v>268894</v>
      </c>
      <c r="V52" s="158">
        <f t="shared" si="108"/>
        <v>311934</v>
      </c>
      <c r="W52" s="158">
        <f t="shared" si="108"/>
        <v>674650.00000000012</v>
      </c>
      <c r="X52" s="158">
        <f t="shared" si="108"/>
        <v>1139358</v>
      </c>
      <c r="Y52" s="158">
        <f t="shared" si="108"/>
        <v>1750699</v>
      </c>
      <c r="Z52" s="158">
        <f t="shared" si="108"/>
        <v>1931698</v>
      </c>
      <c r="AA52" s="158">
        <f t="shared" si="108"/>
        <v>1585447</v>
      </c>
      <c r="AB52" s="158">
        <f t="shared" si="108"/>
        <v>1293229</v>
      </c>
      <c r="AC52" s="158">
        <f t="shared" si="108"/>
        <v>737580</v>
      </c>
      <c r="AD52" s="158">
        <f t="shared" si="108"/>
        <v>416080</v>
      </c>
      <c r="AE52" s="158">
        <f t="shared" si="108"/>
        <v>270165</v>
      </c>
      <c r="AF52" s="143">
        <f t="shared" si="64"/>
        <v>10648628</v>
      </c>
      <c r="AG52" s="143">
        <f>SUM(AG39,AG44,AG48,AG46)</f>
        <v>8798</v>
      </c>
      <c r="AH52" s="143">
        <f>SUM(AH39,AH44,AH48,AH46)</f>
        <v>2373</v>
      </c>
      <c r="AI52" s="27" t="s">
        <v>408</v>
      </c>
      <c r="AJ52" s="158">
        <f t="shared" ref="AJ52:AU52" si="109">SUM(AJ50:AJ51)</f>
        <v>272738</v>
      </c>
      <c r="AK52" s="158">
        <f t="shared" si="109"/>
        <v>272738</v>
      </c>
      <c r="AL52" s="158">
        <f t="shared" si="109"/>
        <v>316383.3</v>
      </c>
      <c r="AM52" s="158">
        <f t="shared" si="109"/>
        <v>684216.2</v>
      </c>
      <c r="AN52" s="158">
        <f t="shared" si="109"/>
        <v>1155476.1000000001</v>
      </c>
      <c r="AO52" s="158">
        <f t="shared" si="109"/>
        <v>1775440.25</v>
      </c>
      <c r="AP52" s="158">
        <f t="shared" si="109"/>
        <v>1958991.8000000003</v>
      </c>
      <c r="AQ52" s="158">
        <f t="shared" si="109"/>
        <v>1607852.75</v>
      </c>
      <c r="AR52" s="158">
        <f t="shared" si="109"/>
        <v>1311518.75</v>
      </c>
      <c r="AS52" s="158">
        <f t="shared" si="109"/>
        <v>748032</v>
      </c>
      <c r="AT52" s="158">
        <f t="shared" si="109"/>
        <v>421999.69999999995</v>
      </c>
      <c r="AU52" s="158">
        <f t="shared" si="109"/>
        <v>274025.25</v>
      </c>
      <c r="AV52" s="143">
        <f t="shared" si="66"/>
        <v>10799412.1</v>
      </c>
      <c r="AW52" s="27"/>
      <c r="AX52" s="158"/>
      <c r="AY52" s="158"/>
      <c r="AZ52" s="158"/>
      <c r="BA52" s="158"/>
      <c r="BB52" s="158"/>
      <c r="BC52" s="158"/>
      <c r="BD52" s="158"/>
      <c r="BE52" s="158"/>
      <c r="BF52" s="158"/>
      <c r="BG52" s="158"/>
      <c r="BH52" s="158"/>
      <c r="BI52" s="158"/>
      <c r="BJ52" s="143"/>
    </row>
    <row r="53" spans="1:62" s="22" customFormat="1">
      <c r="A53" s="140">
        <f>A52/A68</f>
        <v>0.53078543111992071</v>
      </c>
      <c r="B53" s="140">
        <f>B52/B68</f>
        <v>0.91567695961995255</v>
      </c>
      <c r="C53" s="27" t="s">
        <v>650</v>
      </c>
      <c r="D53" s="158">
        <f>D52</f>
        <v>265639</v>
      </c>
      <c r="E53" s="22">
        <f>D53+E52</f>
        <v>531278</v>
      </c>
      <c r="F53" s="22">
        <f t="shared" ref="F53:O53" si="110">E53+F52</f>
        <v>839465.3</v>
      </c>
      <c r="G53" s="22">
        <f t="shared" si="110"/>
        <v>1506178.5</v>
      </c>
      <c r="H53" s="22">
        <f t="shared" si="110"/>
        <v>2632242.6</v>
      </c>
      <c r="I53" s="152">
        <f t="shared" si="110"/>
        <v>4362588.8499999996</v>
      </c>
      <c r="J53" s="152">
        <f t="shared" si="110"/>
        <v>6271845.6499999994</v>
      </c>
      <c r="K53" s="152">
        <f t="shared" si="110"/>
        <v>7880148.4499999993</v>
      </c>
      <c r="L53" s="152">
        <f t="shared" si="110"/>
        <v>9158303.1999999993</v>
      </c>
      <c r="M53" s="152">
        <f t="shared" si="110"/>
        <v>9887225.1999999993</v>
      </c>
      <c r="N53" s="22">
        <f t="shared" si="110"/>
        <v>10298351.899999999</v>
      </c>
      <c r="O53" s="22">
        <f t="shared" si="110"/>
        <v>10565252.149999999</v>
      </c>
      <c r="P53" s="124">
        <f>(P13-P52)/P52</f>
        <v>0.1523545706371193</v>
      </c>
      <c r="Q53" s="131"/>
      <c r="R53" s="131"/>
      <c r="S53" s="27" t="s">
        <v>650</v>
      </c>
      <c r="T53" s="158">
        <f>T52</f>
        <v>268894</v>
      </c>
      <c r="U53" s="22">
        <f t="shared" ref="U53:AE53" si="111">T53+U52</f>
        <v>537788</v>
      </c>
      <c r="V53" s="22">
        <f t="shared" si="111"/>
        <v>849722</v>
      </c>
      <c r="W53" s="22">
        <f t="shared" si="111"/>
        <v>1524372</v>
      </c>
      <c r="X53" s="22">
        <f t="shared" si="111"/>
        <v>2663730</v>
      </c>
      <c r="Y53" s="22">
        <f t="shared" si="111"/>
        <v>4414429</v>
      </c>
      <c r="Z53" s="22">
        <f t="shared" si="111"/>
        <v>6346127</v>
      </c>
      <c r="AA53" s="22">
        <f t="shared" si="111"/>
        <v>7931574</v>
      </c>
      <c r="AB53" s="22">
        <f t="shared" si="111"/>
        <v>9224803</v>
      </c>
      <c r="AC53" s="22">
        <f t="shared" si="111"/>
        <v>9962383</v>
      </c>
      <c r="AD53" s="22">
        <f t="shared" si="111"/>
        <v>10378463</v>
      </c>
      <c r="AE53" s="22">
        <f t="shared" si="111"/>
        <v>10648628</v>
      </c>
      <c r="AG53" s="131"/>
      <c r="AH53" s="131"/>
      <c r="AI53" s="27" t="s">
        <v>650</v>
      </c>
      <c r="AJ53" s="158">
        <f>AJ52</f>
        <v>272738</v>
      </c>
      <c r="AK53" s="22">
        <f t="shared" ref="AK53:AU53" si="112">AJ53+AK52</f>
        <v>545476</v>
      </c>
      <c r="AL53" s="22">
        <f t="shared" si="112"/>
        <v>861859.3</v>
      </c>
      <c r="AM53" s="22">
        <f t="shared" si="112"/>
        <v>1546075.5</v>
      </c>
      <c r="AN53" s="22">
        <f t="shared" si="112"/>
        <v>2701551.6</v>
      </c>
      <c r="AO53" s="22">
        <f t="shared" si="112"/>
        <v>4476991.8499999996</v>
      </c>
      <c r="AP53" s="22">
        <f t="shared" si="112"/>
        <v>6435983.6500000004</v>
      </c>
      <c r="AQ53" s="22">
        <f t="shared" si="112"/>
        <v>8043836.4000000004</v>
      </c>
      <c r="AR53" s="22">
        <f t="shared" si="112"/>
        <v>9355355.1500000004</v>
      </c>
      <c r="AS53" s="22">
        <f t="shared" si="112"/>
        <v>10103387.15</v>
      </c>
      <c r="AT53" s="22">
        <f t="shared" si="112"/>
        <v>10525386.85</v>
      </c>
      <c r="AU53" s="22">
        <f t="shared" si="112"/>
        <v>10799412.1</v>
      </c>
      <c r="AW53" s="27"/>
      <c r="AX53" s="158"/>
    </row>
    <row r="54" spans="1:62" s="22" customFormat="1">
      <c r="A54" s="131"/>
      <c r="B54" s="131"/>
      <c r="C54" s="10" t="s">
        <v>504</v>
      </c>
      <c r="D54" s="273">
        <v>2800</v>
      </c>
      <c r="E54" s="132">
        <v>2000</v>
      </c>
      <c r="F54" s="132">
        <v>2600</v>
      </c>
      <c r="G54" s="132">
        <v>8000</v>
      </c>
      <c r="H54" s="132">
        <v>17000</v>
      </c>
      <c r="I54" s="153">
        <v>30000</v>
      </c>
      <c r="J54" s="153">
        <v>32000</v>
      </c>
      <c r="K54" s="153">
        <v>28000</v>
      </c>
      <c r="L54" s="153">
        <v>20000</v>
      </c>
      <c r="M54" s="153">
        <v>10000</v>
      </c>
      <c r="N54" s="132">
        <v>5000</v>
      </c>
      <c r="O54" s="132">
        <v>3000</v>
      </c>
      <c r="P54" s="22">
        <f>SUM(D54:O54)</f>
        <v>160400</v>
      </c>
      <c r="Q54" s="131"/>
      <c r="R54" s="131"/>
      <c r="S54" s="10" t="s">
        <v>504</v>
      </c>
      <c r="T54" s="273">
        <v>2500</v>
      </c>
      <c r="U54" s="132">
        <v>1800</v>
      </c>
      <c r="V54" s="132">
        <v>2100</v>
      </c>
      <c r="W54" s="132">
        <v>6500</v>
      </c>
      <c r="X54" s="132">
        <v>14000</v>
      </c>
      <c r="Y54" s="132">
        <v>25000</v>
      </c>
      <c r="Z54" s="275">
        <v>27000</v>
      </c>
      <c r="AA54" s="275">
        <v>25000</v>
      </c>
      <c r="AB54" s="132">
        <v>17000</v>
      </c>
      <c r="AC54" s="132">
        <v>8000</v>
      </c>
      <c r="AD54" s="132">
        <v>2500</v>
      </c>
      <c r="AE54" s="132">
        <v>2000</v>
      </c>
      <c r="AF54" s="22">
        <f t="shared" si="64"/>
        <v>133400</v>
      </c>
      <c r="AG54" s="131"/>
      <c r="AH54" s="131"/>
      <c r="AI54" s="10" t="s">
        <v>504</v>
      </c>
      <c r="AJ54" s="153">
        <v>1300</v>
      </c>
      <c r="AK54" s="153">
        <v>11300</v>
      </c>
      <c r="AL54" s="153">
        <v>2000</v>
      </c>
      <c r="AM54" s="153">
        <v>6500</v>
      </c>
      <c r="AN54" s="153">
        <v>11000</v>
      </c>
      <c r="AO54" s="153">
        <v>20000</v>
      </c>
      <c r="AP54" s="153">
        <v>21000</v>
      </c>
      <c r="AQ54" s="153">
        <v>18000</v>
      </c>
      <c r="AR54" s="153">
        <v>13000</v>
      </c>
      <c r="AS54" s="153">
        <v>5000</v>
      </c>
      <c r="AT54" s="153">
        <v>2500</v>
      </c>
      <c r="AU54" s="153">
        <v>2000</v>
      </c>
      <c r="AV54" s="22">
        <f t="shared" si="66"/>
        <v>113600</v>
      </c>
      <c r="AW54" s="10"/>
      <c r="AX54" s="153"/>
      <c r="AY54" s="153"/>
      <c r="AZ54" s="153"/>
      <c r="BA54" s="153"/>
      <c r="BB54" s="153"/>
      <c r="BC54" s="153"/>
      <c r="BD54" s="153"/>
      <c r="BE54" s="153"/>
      <c r="BF54" s="153"/>
      <c r="BG54" s="153"/>
      <c r="BH54" s="153"/>
      <c r="BI54" s="153"/>
    </row>
    <row r="55" spans="1:62" s="22" customFormat="1">
      <c r="A55" s="131"/>
      <c r="B55" s="131"/>
      <c r="C55" s="10" t="s">
        <v>651</v>
      </c>
      <c r="D55" s="158">
        <f>D54</f>
        <v>2800</v>
      </c>
      <c r="E55" s="22">
        <f>D55+E54</f>
        <v>4800</v>
      </c>
      <c r="F55" s="22">
        <f t="shared" ref="F55:O55" si="113">E55+F54</f>
        <v>7400</v>
      </c>
      <c r="G55" s="22">
        <f t="shared" si="113"/>
        <v>15400</v>
      </c>
      <c r="H55" s="22">
        <f t="shared" si="113"/>
        <v>32400</v>
      </c>
      <c r="I55" s="152">
        <f t="shared" si="113"/>
        <v>62400</v>
      </c>
      <c r="J55" s="152">
        <f t="shared" si="113"/>
        <v>94400</v>
      </c>
      <c r="K55" s="152">
        <f t="shared" si="113"/>
        <v>122400</v>
      </c>
      <c r="L55" s="152">
        <f t="shared" si="113"/>
        <v>142400</v>
      </c>
      <c r="M55" s="152">
        <f t="shared" si="113"/>
        <v>152400</v>
      </c>
      <c r="N55" s="22">
        <f t="shared" si="113"/>
        <v>157400</v>
      </c>
      <c r="O55" s="22">
        <f t="shared" si="113"/>
        <v>160400</v>
      </c>
      <c r="Q55" s="131"/>
      <c r="R55" s="131"/>
      <c r="S55" s="10" t="s">
        <v>651</v>
      </c>
      <c r="T55" s="158">
        <f>T54</f>
        <v>2500</v>
      </c>
      <c r="U55" s="22">
        <f t="shared" ref="U55:AE55" si="114">T55+U54</f>
        <v>4300</v>
      </c>
      <c r="V55" s="22">
        <f t="shared" si="114"/>
        <v>6400</v>
      </c>
      <c r="W55" s="22">
        <f t="shared" si="114"/>
        <v>12900</v>
      </c>
      <c r="X55" s="22">
        <f t="shared" si="114"/>
        <v>26900</v>
      </c>
      <c r="Y55" s="22">
        <f t="shared" si="114"/>
        <v>51900</v>
      </c>
      <c r="Z55" s="22">
        <f t="shared" si="114"/>
        <v>78900</v>
      </c>
      <c r="AA55" s="22">
        <f t="shared" si="114"/>
        <v>103900</v>
      </c>
      <c r="AB55" s="22">
        <f t="shared" si="114"/>
        <v>120900</v>
      </c>
      <c r="AC55" s="22">
        <f t="shared" si="114"/>
        <v>128900</v>
      </c>
      <c r="AD55" s="22">
        <f t="shared" si="114"/>
        <v>131400</v>
      </c>
      <c r="AE55" s="22">
        <f t="shared" si="114"/>
        <v>133400</v>
      </c>
      <c r="AG55" s="131"/>
      <c r="AH55" s="131"/>
      <c r="AI55" s="10" t="s">
        <v>651</v>
      </c>
      <c r="AJ55" s="158">
        <f>AJ54</f>
        <v>1300</v>
      </c>
      <c r="AK55" s="22">
        <f t="shared" ref="AK55:AU55" si="115">AJ55+AK54</f>
        <v>12600</v>
      </c>
      <c r="AL55" s="22">
        <f t="shared" si="115"/>
        <v>14600</v>
      </c>
      <c r="AM55" s="22">
        <f t="shared" si="115"/>
        <v>21100</v>
      </c>
      <c r="AN55" s="22">
        <f t="shared" si="115"/>
        <v>32100</v>
      </c>
      <c r="AO55" s="22">
        <f t="shared" si="115"/>
        <v>52100</v>
      </c>
      <c r="AP55" s="22">
        <f t="shared" si="115"/>
        <v>73100</v>
      </c>
      <c r="AQ55" s="22">
        <f t="shared" si="115"/>
        <v>91100</v>
      </c>
      <c r="AR55" s="22">
        <f t="shared" si="115"/>
        <v>104100</v>
      </c>
      <c r="AS55" s="22">
        <f t="shared" si="115"/>
        <v>109100</v>
      </c>
      <c r="AT55" s="22">
        <f t="shared" si="115"/>
        <v>111600</v>
      </c>
      <c r="AU55" s="22">
        <f t="shared" si="115"/>
        <v>113600</v>
      </c>
      <c r="AW55" s="10"/>
      <c r="AX55" s="158"/>
    </row>
    <row r="56" spans="1:62" s="22" customFormat="1">
      <c r="A56" s="28">
        <v>823</v>
      </c>
      <c r="B56" s="28">
        <v>0</v>
      </c>
      <c r="C56" s="28" t="s">
        <v>505</v>
      </c>
      <c r="D56" s="158">
        <f t="shared" ref="D56:O56" si="116">(D36*$A$56)+(D2*$B$56)</f>
        <v>25513</v>
      </c>
      <c r="E56" s="158">
        <f t="shared" si="116"/>
        <v>25513</v>
      </c>
      <c r="F56" s="158">
        <f t="shared" si="116"/>
        <v>24690</v>
      </c>
      <c r="G56" s="158">
        <f t="shared" si="116"/>
        <v>25513</v>
      </c>
      <c r="H56" s="158">
        <f t="shared" si="116"/>
        <v>24690</v>
      </c>
      <c r="I56" s="158">
        <f t="shared" si="116"/>
        <v>25513</v>
      </c>
      <c r="J56" s="158">
        <f t="shared" si="116"/>
        <v>25513</v>
      </c>
      <c r="K56" s="158">
        <f t="shared" si="116"/>
        <v>23044</v>
      </c>
      <c r="L56" s="158">
        <f t="shared" si="116"/>
        <v>25513</v>
      </c>
      <c r="M56" s="158">
        <f t="shared" si="116"/>
        <v>24690</v>
      </c>
      <c r="N56" s="158">
        <f t="shared" si="116"/>
        <v>25513</v>
      </c>
      <c r="O56" s="158">
        <f t="shared" si="116"/>
        <v>24690</v>
      </c>
      <c r="P56" s="22">
        <f>SUM(D56:O56)</f>
        <v>300395</v>
      </c>
      <c r="Q56" s="28">
        <f>A56</f>
        <v>823</v>
      </c>
      <c r="R56" s="28">
        <f>B56</f>
        <v>0</v>
      </c>
      <c r="S56" s="28" t="s">
        <v>505</v>
      </c>
      <c r="T56" s="158">
        <f>(T36*$Q$56)+(T2*$R$56)</f>
        <v>25513</v>
      </c>
      <c r="U56" s="158">
        <f t="shared" ref="U56:AE56" si="117">(U36*$A$56)+(U2*$B$56)</f>
        <v>25513</v>
      </c>
      <c r="V56" s="158">
        <f t="shared" si="117"/>
        <v>24690</v>
      </c>
      <c r="W56" s="158">
        <f t="shared" si="117"/>
        <v>25513</v>
      </c>
      <c r="X56" s="158">
        <f t="shared" si="117"/>
        <v>24690</v>
      </c>
      <c r="Y56" s="158">
        <f t="shared" si="117"/>
        <v>25513</v>
      </c>
      <c r="Z56" s="158">
        <f t="shared" si="117"/>
        <v>25513</v>
      </c>
      <c r="AA56" s="158">
        <f t="shared" si="117"/>
        <v>23044</v>
      </c>
      <c r="AB56" s="158">
        <f t="shared" si="117"/>
        <v>25513</v>
      </c>
      <c r="AC56" s="158">
        <f t="shared" si="117"/>
        <v>24690</v>
      </c>
      <c r="AD56" s="158">
        <f t="shared" si="117"/>
        <v>25513</v>
      </c>
      <c r="AE56" s="158">
        <f t="shared" si="117"/>
        <v>24690</v>
      </c>
      <c r="AF56" s="22">
        <f>SUM(T56:AE56)</f>
        <v>300395</v>
      </c>
      <c r="AG56" s="28">
        <f>Q56</f>
        <v>823</v>
      </c>
      <c r="AH56" s="28">
        <f>R56</f>
        <v>0</v>
      </c>
      <c r="AI56" s="28" t="s">
        <v>505</v>
      </c>
      <c r="AJ56" s="158">
        <f>(AJ36*$Q$56)+(AJ2*$R$56)</f>
        <v>25513</v>
      </c>
      <c r="AK56" s="158">
        <f t="shared" ref="AK56:AU56" si="118">(AK36*$A$56)+(AK2*$B$56)</f>
        <v>25513</v>
      </c>
      <c r="AL56" s="158">
        <f t="shared" si="118"/>
        <v>24690</v>
      </c>
      <c r="AM56" s="158">
        <f t="shared" si="118"/>
        <v>25513</v>
      </c>
      <c r="AN56" s="158">
        <f t="shared" si="118"/>
        <v>24690</v>
      </c>
      <c r="AO56" s="158">
        <f t="shared" si="118"/>
        <v>25513</v>
      </c>
      <c r="AP56" s="158">
        <f t="shared" si="118"/>
        <v>25513</v>
      </c>
      <c r="AQ56" s="158">
        <f t="shared" si="118"/>
        <v>23044</v>
      </c>
      <c r="AR56" s="158">
        <f t="shared" si="118"/>
        <v>25513</v>
      </c>
      <c r="AS56" s="158">
        <f t="shared" si="118"/>
        <v>24690</v>
      </c>
      <c r="AT56" s="158">
        <f t="shared" si="118"/>
        <v>25513</v>
      </c>
      <c r="AU56" s="158">
        <f t="shared" si="118"/>
        <v>24690</v>
      </c>
      <c r="AV56" s="22">
        <f>SUM(AJ56:AU56)</f>
        <v>300395</v>
      </c>
      <c r="AW56" s="28"/>
      <c r="AX56" s="158"/>
      <c r="AY56" s="158"/>
      <c r="AZ56" s="158"/>
      <c r="BA56" s="158"/>
      <c r="BB56" s="158"/>
      <c r="BC56" s="158"/>
      <c r="BD56" s="158"/>
      <c r="BE56" s="158"/>
      <c r="BF56" s="158"/>
      <c r="BG56" s="158"/>
      <c r="BH56" s="158"/>
      <c r="BI56" s="158"/>
    </row>
    <row r="57" spans="1:62" s="22" customFormat="1">
      <c r="C57" s="28" t="s">
        <v>652</v>
      </c>
      <c r="D57" s="158">
        <f>D56</f>
        <v>25513</v>
      </c>
      <c r="E57" s="158">
        <f>D57+E56</f>
        <v>51026</v>
      </c>
      <c r="F57" s="158">
        <f t="shared" ref="F57:O57" si="119">E57+F56</f>
        <v>75716</v>
      </c>
      <c r="G57" s="158">
        <f t="shared" si="119"/>
        <v>101229</v>
      </c>
      <c r="H57" s="158">
        <f t="shared" si="119"/>
        <v>125919</v>
      </c>
      <c r="I57" s="158">
        <f t="shared" si="119"/>
        <v>151432</v>
      </c>
      <c r="J57" s="158">
        <f t="shared" si="119"/>
        <v>176945</v>
      </c>
      <c r="K57" s="158">
        <f t="shared" si="119"/>
        <v>199989</v>
      </c>
      <c r="L57" s="158">
        <f t="shared" si="119"/>
        <v>225502</v>
      </c>
      <c r="M57" s="158">
        <f t="shared" si="119"/>
        <v>250192</v>
      </c>
      <c r="N57" s="158">
        <f t="shared" si="119"/>
        <v>275705</v>
      </c>
      <c r="O57" s="158">
        <f t="shared" si="119"/>
        <v>300395</v>
      </c>
      <c r="Q57" s="131"/>
      <c r="R57" s="131"/>
      <c r="S57" s="28" t="s">
        <v>652</v>
      </c>
      <c r="T57" s="158">
        <f>T56</f>
        <v>25513</v>
      </c>
      <c r="U57" s="158">
        <f t="shared" ref="U57:AE57" si="120">T57+U56</f>
        <v>51026</v>
      </c>
      <c r="V57" s="158">
        <f t="shared" si="120"/>
        <v>75716</v>
      </c>
      <c r="W57" s="158">
        <f t="shared" si="120"/>
        <v>101229</v>
      </c>
      <c r="X57" s="158">
        <f t="shared" si="120"/>
        <v>125919</v>
      </c>
      <c r="Y57" s="158">
        <f t="shared" si="120"/>
        <v>151432</v>
      </c>
      <c r="Z57" s="158">
        <f t="shared" si="120"/>
        <v>176945</v>
      </c>
      <c r="AA57" s="158">
        <f t="shared" si="120"/>
        <v>199989</v>
      </c>
      <c r="AB57" s="158">
        <f t="shared" si="120"/>
        <v>225502</v>
      </c>
      <c r="AC57" s="158">
        <f t="shared" si="120"/>
        <v>250192</v>
      </c>
      <c r="AD57" s="158">
        <f t="shared" si="120"/>
        <v>275705</v>
      </c>
      <c r="AE57" s="158">
        <f t="shared" si="120"/>
        <v>300395</v>
      </c>
      <c r="AG57" s="131"/>
      <c r="AH57" s="131"/>
      <c r="AI57" s="28" t="s">
        <v>652</v>
      </c>
      <c r="AJ57" s="158">
        <f>AJ56</f>
        <v>25513</v>
      </c>
      <c r="AK57" s="158">
        <f t="shared" ref="AK57:AU57" si="121">AJ57+AK56</f>
        <v>51026</v>
      </c>
      <c r="AL57" s="158">
        <f t="shared" si="121"/>
        <v>75716</v>
      </c>
      <c r="AM57" s="158">
        <f t="shared" si="121"/>
        <v>101229</v>
      </c>
      <c r="AN57" s="158">
        <f t="shared" si="121"/>
        <v>125919</v>
      </c>
      <c r="AO57" s="158">
        <f t="shared" si="121"/>
        <v>151432</v>
      </c>
      <c r="AP57" s="158">
        <f t="shared" si="121"/>
        <v>176945</v>
      </c>
      <c r="AQ57" s="158">
        <f t="shared" si="121"/>
        <v>199989</v>
      </c>
      <c r="AR57" s="158">
        <f t="shared" si="121"/>
        <v>225502</v>
      </c>
      <c r="AS57" s="158">
        <f t="shared" si="121"/>
        <v>250192</v>
      </c>
      <c r="AT57" s="158">
        <f t="shared" si="121"/>
        <v>275705</v>
      </c>
      <c r="AU57" s="158">
        <f t="shared" si="121"/>
        <v>300395</v>
      </c>
      <c r="AW57" s="28"/>
      <c r="AX57" s="158"/>
      <c r="AY57" s="158"/>
      <c r="AZ57" s="158"/>
      <c r="BA57" s="158"/>
      <c r="BB57" s="158"/>
      <c r="BC57" s="158"/>
      <c r="BD57" s="158"/>
      <c r="BE57" s="158"/>
      <c r="BF57" s="158"/>
      <c r="BG57" s="158"/>
      <c r="BH57" s="158"/>
      <c r="BI57" s="158"/>
    </row>
    <row r="58" spans="1:62" s="22" customFormat="1">
      <c r="C58" s="28" t="s">
        <v>917</v>
      </c>
      <c r="D58" s="418">
        <v>1200</v>
      </c>
      <c r="E58" s="418">
        <v>1200</v>
      </c>
      <c r="F58" s="418">
        <v>1200</v>
      </c>
      <c r="G58" s="418">
        <v>1200</v>
      </c>
      <c r="H58" s="418">
        <v>1200</v>
      </c>
      <c r="I58" s="418">
        <v>1200</v>
      </c>
      <c r="J58" s="418">
        <v>1200</v>
      </c>
      <c r="K58" s="418">
        <v>1200</v>
      </c>
      <c r="L58" s="418">
        <v>1200</v>
      </c>
      <c r="M58" s="418">
        <v>1200</v>
      </c>
      <c r="N58" s="418">
        <v>1200</v>
      </c>
      <c r="O58" s="418">
        <v>1200</v>
      </c>
      <c r="P58" s="22">
        <f>SUM(D58:O58)</f>
        <v>14400</v>
      </c>
      <c r="Q58" s="131"/>
      <c r="R58" s="131"/>
      <c r="S58" s="28" t="s">
        <v>917</v>
      </c>
      <c r="T58" s="418">
        <f>1200+1240</f>
        <v>2440</v>
      </c>
      <c r="U58" s="418">
        <f t="shared" ref="U58:AE58" si="122">1200+1240</f>
        <v>2440</v>
      </c>
      <c r="V58" s="418">
        <f t="shared" si="122"/>
        <v>2440</v>
      </c>
      <c r="W58" s="418">
        <f t="shared" si="122"/>
        <v>2440</v>
      </c>
      <c r="X58" s="418">
        <f t="shared" si="122"/>
        <v>2440</v>
      </c>
      <c r="Y58" s="418">
        <f t="shared" si="122"/>
        <v>2440</v>
      </c>
      <c r="Z58" s="418">
        <f t="shared" si="122"/>
        <v>2440</v>
      </c>
      <c r="AA58" s="418">
        <f t="shared" si="122"/>
        <v>2440</v>
      </c>
      <c r="AB58" s="418">
        <f t="shared" si="122"/>
        <v>2440</v>
      </c>
      <c r="AC58" s="418">
        <f t="shared" si="122"/>
        <v>2440</v>
      </c>
      <c r="AD58" s="418">
        <f t="shared" si="122"/>
        <v>2440</v>
      </c>
      <c r="AE58" s="418">
        <f t="shared" si="122"/>
        <v>2440</v>
      </c>
      <c r="AF58" s="22">
        <f>SUM(T58:AE58)</f>
        <v>29280</v>
      </c>
      <c r="AG58" s="131"/>
      <c r="AH58" s="131"/>
      <c r="AI58" s="28" t="s">
        <v>917</v>
      </c>
      <c r="AJ58" s="418">
        <f>1200+4000</f>
        <v>5200</v>
      </c>
      <c r="AK58" s="418">
        <f t="shared" ref="AK58:AU58" si="123">1200+4000</f>
        <v>5200</v>
      </c>
      <c r="AL58" s="418">
        <f t="shared" si="123"/>
        <v>5200</v>
      </c>
      <c r="AM58" s="418">
        <f t="shared" si="123"/>
        <v>5200</v>
      </c>
      <c r="AN58" s="418">
        <f t="shared" si="123"/>
        <v>5200</v>
      </c>
      <c r="AO58" s="418">
        <f t="shared" si="123"/>
        <v>5200</v>
      </c>
      <c r="AP58" s="418">
        <f t="shared" si="123"/>
        <v>5200</v>
      </c>
      <c r="AQ58" s="418">
        <f t="shared" si="123"/>
        <v>5200</v>
      </c>
      <c r="AR58" s="418">
        <f t="shared" si="123"/>
        <v>5200</v>
      </c>
      <c r="AS58" s="418">
        <f t="shared" si="123"/>
        <v>5200</v>
      </c>
      <c r="AT58" s="418">
        <f t="shared" si="123"/>
        <v>5200</v>
      </c>
      <c r="AU58" s="418">
        <f t="shared" si="123"/>
        <v>5200</v>
      </c>
      <c r="AV58" s="22">
        <f>SUM(AJ58:AU58)</f>
        <v>62400</v>
      </c>
      <c r="AW58" s="28"/>
      <c r="AX58" s="158"/>
      <c r="AY58" s="158"/>
      <c r="AZ58" s="158"/>
      <c r="BA58" s="158"/>
      <c r="BB58" s="158"/>
      <c r="BC58" s="158"/>
      <c r="BD58" s="158"/>
      <c r="BE58" s="158"/>
      <c r="BF58" s="158"/>
      <c r="BG58" s="158"/>
      <c r="BH58" s="158"/>
      <c r="BI58" s="158"/>
    </row>
    <row r="59" spans="1:62" s="22" customFormat="1">
      <c r="C59" s="28" t="s">
        <v>918</v>
      </c>
      <c r="D59" s="158">
        <f>D58</f>
        <v>1200</v>
      </c>
      <c r="E59" s="158">
        <f>D59+E58</f>
        <v>2400</v>
      </c>
      <c r="F59" s="158">
        <f t="shared" ref="F59:O59" si="124">E59+F58</f>
        <v>3600</v>
      </c>
      <c r="G59" s="158">
        <f t="shared" si="124"/>
        <v>4800</v>
      </c>
      <c r="H59" s="158">
        <f t="shared" si="124"/>
        <v>6000</v>
      </c>
      <c r="I59" s="158">
        <f t="shared" si="124"/>
        <v>7200</v>
      </c>
      <c r="J59" s="158">
        <f t="shared" si="124"/>
        <v>8400</v>
      </c>
      <c r="K59" s="158">
        <f t="shared" si="124"/>
        <v>9600</v>
      </c>
      <c r="L59" s="158">
        <f t="shared" si="124"/>
        <v>10800</v>
      </c>
      <c r="M59" s="158">
        <f t="shared" si="124"/>
        <v>12000</v>
      </c>
      <c r="N59" s="158">
        <f t="shared" si="124"/>
        <v>13200</v>
      </c>
      <c r="O59" s="158">
        <f t="shared" si="124"/>
        <v>14400</v>
      </c>
      <c r="Q59" s="131"/>
      <c r="R59" s="131"/>
      <c r="S59" s="28" t="s">
        <v>918</v>
      </c>
      <c r="T59" s="158">
        <f>T58</f>
        <v>2440</v>
      </c>
      <c r="U59" s="158">
        <f t="shared" ref="U59:AE59" si="125">T59+U58</f>
        <v>4880</v>
      </c>
      <c r="V59" s="158">
        <f t="shared" si="125"/>
        <v>7320</v>
      </c>
      <c r="W59" s="158">
        <f t="shared" si="125"/>
        <v>9760</v>
      </c>
      <c r="X59" s="158">
        <f t="shared" si="125"/>
        <v>12200</v>
      </c>
      <c r="Y59" s="158">
        <f t="shared" si="125"/>
        <v>14640</v>
      </c>
      <c r="Z59" s="158">
        <f t="shared" si="125"/>
        <v>17080</v>
      </c>
      <c r="AA59" s="158">
        <f t="shared" si="125"/>
        <v>19520</v>
      </c>
      <c r="AB59" s="158">
        <f t="shared" si="125"/>
        <v>21960</v>
      </c>
      <c r="AC59" s="158">
        <f t="shared" si="125"/>
        <v>24400</v>
      </c>
      <c r="AD59" s="158">
        <f t="shared" si="125"/>
        <v>26840</v>
      </c>
      <c r="AE59" s="158">
        <f t="shared" si="125"/>
        <v>29280</v>
      </c>
      <c r="AG59" s="131"/>
      <c r="AH59" s="131"/>
      <c r="AI59" s="28" t="s">
        <v>918</v>
      </c>
      <c r="AJ59" s="158">
        <f>AJ58</f>
        <v>5200</v>
      </c>
      <c r="AK59" s="158">
        <f t="shared" ref="AK59:AU59" si="126">AJ59+AK58</f>
        <v>10400</v>
      </c>
      <c r="AL59" s="158">
        <f t="shared" si="126"/>
        <v>15600</v>
      </c>
      <c r="AM59" s="158">
        <f t="shared" si="126"/>
        <v>20800</v>
      </c>
      <c r="AN59" s="158">
        <f t="shared" si="126"/>
        <v>26000</v>
      </c>
      <c r="AO59" s="158">
        <f t="shared" si="126"/>
        <v>31200</v>
      </c>
      <c r="AP59" s="158">
        <f t="shared" si="126"/>
        <v>36400</v>
      </c>
      <c r="AQ59" s="158">
        <f t="shared" si="126"/>
        <v>41600</v>
      </c>
      <c r="AR59" s="158">
        <f t="shared" si="126"/>
        <v>46800</v>
      </c>
      <c r="AS59" s="158">
        <f t="shared" si="126"/>
        <v>52000</v>
      </c>
      <c r="AT59" s="158">
        <f t="shared" si="126"/>
        <v>57200</v>
      </c>
      <c r="AU59" s="158">
        <f t="shared" si="126"/>
        <v>62400</v>
      </c>
      <c r="AW59" s="28"/>
      <c r="AX59" s="158"/>
      <c r="AY59" s="158"/>
      <c r="AZ59" s="158"/>
      <c r="BA59" s="158"/>
      <c r="BB59" s="158"/>
      <c r="BC59" s="158"/>
      <c r="BD59" s="158"/>
      <c r="BE59" s="158"/>
      <c r="BF59" s="158"/>
      <c r="BG59" s="158"/>
      <c r="BH59" s="158"/>
      <c r="BI59" s="158"/>
    </row>
    <row r="60" spans="1:62">
      <c r="B60" s="124"/>
      <c r="C60" s="10" t="s">
        <v>506</v>
      </c>
      <c r="D60" s="132">
        <v>220000</v>
      </c>
      <c r="E60" s="132">
        <v>230000</v>
      </c>
      <c r="F60" s="132">
        <v>245000</v>
      </c>
      <c r="G60" s="132">
        <v>260000</v>
      </c>
      <c r="H60" s="132">
        <v>310000</v>
      </c>
      <c r="I60" s="153">
        <v>390000</v>
      </c>
      <c r="J60" s="153">
        <v>410000</v>
      </c>
      <c r="K60" s="153">
        <v>330000</v>
      </c>
      <c r="L60" s="153">
        <v>300000</v>
      </c>
      <c r="M60" s="153">
        <v>290000</v>
      </c>
      <c r="N60" s="132">
        <v>230000</v>
      </c>
      <c r="O60" s="132">
        <v>240000</v>
      </c>
      <c r="P60" s="22">
        <f>SUM(D60:O60)</f>
        <v>3455000</v>
      </c>
      <c r="Q60" s="124">
        <f>P60/P64</f>
        <v>0.95184307675354018</v>
      </c>
      <c r="R60" s="22"/>
      <c r="S60" s="10" t="s">
        <v>506</v>
      </c>
      <c r="T60" s="132">
        <v>220000</v>
      </c>
      <c r="U60" s="132">
        <v>235000</v>
      </c>
      <c r="V60" s="132">
        <v>250000</v>
      </c>
      <c r="W60" s="132">
        <v>270000</v>
      </c>
      <c r="X60" s="132">
        <v>320000</v>
      </c>
      <c r="Y60" s="132">
        <v>400000</v>
      </c>
      <c r="Z60" s="132">
        <v>420000</v>
      </c>
      <c r="AA60" s="132">
        <v>340000</v>
      </c>
      <c r="AB60" s="132">
        <v>310000</v>
      </c>
      <c r="AC60" s="132">
        <v>300000</v>
      </c>
      <c r="AD60" s="132">
        <v>240000</v>
      </c>
      <c r="AE60" s="132">
        <v>245000</v>
      </c>
      <c r="AF60" s="22">
        <f>SUM(T60:AE60)</f>
        <v>3550000</v>
      </c>
      <c r="AG60" s="22"/>
      <c r="AH60" s="22"/>
      <c r="AI60" s="10" t="s">
        <v>506</v>
      </c>
      <c r="AJ60" s="153">
        <v>230000</v>
      </c>
      <c r="AK60" s="153">
        <v>235000</v>
      </c>
      <c r="AL60" s="153">
        <v>250000</v>
      </c>
      <c r="AM60" s="153">
        <v>280000</v>
      </c>
      <c r="AN60" s="153">
        <v>330000</v>
      </c>
      <c r="AO60" s="153">
        <v>420000</v>
      </c>
      <c r="AP60" s="153">
        <v>440000</v>
      </c>
      <c r="AQ60" s="153">
        <v>350000</v>
      </c>
      <c r="AR60" s="153">
        <v>320000</v>
      </c>
      <c r="AS60" s="153">
        <v>310000</v>
      </c>
      <c r="AT60" s="153">
        <v>250000</v>
      </c>
      <c r="AU60" s="153">
        <v>250000</v>
      </c>
      <c r="AV60" s="22">
        <f>SUM(AJ60:AU60)</f>
        <v>3665000</v>
      </c>
      <c r="AX60" s="153"/>
      <c r="AY60" s="153"/>
      <c r="AZ60" s="153"/>
      <c r="BA60" s="153"/>
      <c r="BB60" s="153"/>
      <c r="BC60" s="153"/>
      <c r="BD60" s="153"/>
      <c r="BE60" s="153"/>
      <c r="BF60" s="153"/>
      <c r="BG60" s="153"/>
      <c r="BH60" s="153"/>
      <c r="BI60" s="153"/>
      <c r="BJ60" s="22"/>
    </row>
    <row r="61" spans="1:62" s="22" customFormat="1">
      <c r="A61" s="131"/>
      <c r="B61" s="131"/>
      <c r="C61" s="10" t="s">
        <v>653</v>
      </c>
      <c r="D61" s="158">
        <f>D60</f>
        <v>220000</v>
      </c>
      <c r="E61" s="22">
        <f>D61+E60</f>
        <v>450000</v>
      </c>
      <c r="F61" s="22">
        <f t="shared" ref="F61:O61" si="127">E61+F60</f>
        <v>695000</v>
      </c>
      <c r="G61" s="22">
        <f t="shared" si="127"/>
        <v>955000</v>
      </c>
      <c r="H61" s="22">
        <f t="shared" si="127"/>
        <v>1265000</v>
      </c>
      <c r="I61" s="152">
        <f t="shared" si="127"/>
        <v>1655000</v>
      </c>
      <c r="J61" s="152">
        <f t="shared" si="127"/>
        <v>2065000</v>
      </c>
      <c r="K61" s="152">
        <f t="shared" si="127"/>
        <v>2395000</v>
      </c>
      <c r="L61" s="152">
        <f t="shared" si="127"/>
        <v>2695000</v>
      </c>
      <c r="M61" s="152">
        <f t="shared" si="127"/>
        <v>2985000</v>
      </c>
      <c r="N61" s="22">
        <f t="shared" si="127"/>
        <v>3215000</v>
      </c>
      <c r="O61" s="22">
        <f t="shared" si="127"/>
        <v>3455000</v>
      </c>
      <c r="Q61" s="131"/>
      <c r="R61" s="131"/>
      <c r="S61" s="10" t="s">
        <v>653</v>
      </c>
      <c r="T61" s="158">
        <f>T60</f>
        <v>220000</v>
      </c>
      <c r="U61" s="22">
        <f t="shared" ref="U61:AE61" si="128">T61+U60</f>
        <v>455000</v>
      </c>
      <c r="V61" s="22">
        <f t="shared" si="128"/>
        <v>705000</v>
      </c>
      <c r="W61" s="22">
        <f t="shared" si="128"/>
        <v>975000</v>
      </c>
      <c r="X61" s="22">
        <f t="shared" si="128"/>
        <v>1295000</v>
      </c>
      <c r="Y61" s="22">
        <f t="shared" si="128"/>
        <v>1695000</v>
      </c>
      <c r="Z61" s="22">
        <f t="shared" si="128"/>
        <v>2115000</v>
      </c>
      <c r="AA61" s="22">
        <f t="shared" si="128"/>
        <v>2455000</v>
      </c>
      <c r="AB61" s="22">
        <f t="shared" si="128"/>
        <v>2765000</v>
      </c>
      <c r="AC61" s="22">
        <f t="shared" si="128"/>
        <v>3065000</v>
      </c>
      <c r="AD61" s="22">
        <f t="shared" si="128"/>
        <v>3305000</v>
      </c>
      <c r="AE61" s="22">
        <f t="shared" si="128"/>
        <v>3550000</v>
      </c>
      <c r="AG61" s="131"/>
      <c r="AH61" s="131"/>
      <c r="AI61" s="10" t="s">
        <v>653</v>
      </c>
      <c r="AJ61" s="158">
        <f>AJ60</f>
        <v>230000</v>
      </c>
      <c r="AK61" s="22">
        <f t="shared" ref="AK61:AU61" si="129">AJ61+AK60</f>
        <v>465000</v>
      </c>
      <c r="AL61" s="22">
        <f t="shared" si="129"/>
        <v>715000</v>
      </c>
      <c r="AM61" s="22">
        <f t="shared" si="129"/>
        <v>995000</v>
      </c>
      <c r="AN61" s="22">
        <f t="shared" si="129"/>
        <v>1325000</v>
      </c>
      <c r="AO61" s="22">
        <f t="shared" si="129"/>
        <v>1745000</v>
      </c>
      <c r="AP61" s="22">
        <f t="shared" si="129"/>
        <v>2185000</v>
      </c>
      <c r="AQ61" s="22">
        <f t="shared" si="129"/>
        <v>2535000</v>
      </c>
      <c r="AR61" s="22">
        <f t="shared" si="129"/>
        <v>2855000</v>
      </c>
      <c r="AS61" s="22">
        <f t="shared" si="129"/>
        <v>3165000</v>
      </c>
      <c r="AT61" s="22">
        <f t="shared" si="129"/>
        <v>3415000</v>
      </c>
      <c r="AU61" s="22">
        <f t="shared" si="129"/>
        <v>3665000</v>
      </c>
      <c r="AW61" s="10"/>
      <c r="AX61" s="158"/>
    </row>
    <row r="62" spans="1:62" s="22" customFormat="1">
      <c r="A62" s="28">
        <v>6752</v>
      </c>
      <c r="B62" s="28">
        <v>213</v>
      </c>
      <c r="C62" s="10" t="s">
        <v>507</v>
      </c>
      <c r="D62" s="158">
        <f t="shared" ref="D62:O62" si="130">(D36*$A$62)+(D2*$B$62)</f>
        <v>209312</v>
      </c>
      <c r="E62" s="158">
        <f t="shared" si="130"/>
        <v>209312</v>
      </c>
      <c r="F62" s="158">
        <f t="shared" si="130"/>
        <v>207267.3</v>
      </c>
      <c r="G62" s="158">
        <f t="shared" si="130"/>
        <v>246246.2</v>
      </c>
      <c r="H62" s="158">
        <f t="shared" si="130"/>
        <v>282584.09999999998</v>
      </c>
      <c r="I62" s="158">
        <f t="shared" si="130"/>
        <v>344194.25</v>
      </c>
      <c r="J62" s="158">
        <f t="shared" si="130"/>
        <v>360669.80000000005</v>
      </c>
      <c r="K62" s="158">
        <f t="shared" si="130"/>
        <v>315066.8</v>
      </c>
      <c r="L62" s="158">
        <f t="shared" si="130"/>
        <v>302552.75</v>
      </c>
      <c r="M62" s="158">
        <f t="shared" si="130"/>
        <v>246012</v>
      </c>
      <c r="N62" s="158">
        <f t="shared" si="130"/>
        <v>222709.7</v>
      </c>
      <c r="O62" s="158">
        <f t="shared" si="130"/>
        <v>203465.25</v>
      </c>
      <c r="P62" s="22">
        <f>SUM(D62:O62)</f>
        <v>3149392.1500000004</v>
      </c>
      <c r="Q62" s="28">
        <f>A62</f>
        <v>6752</v>
      </c>
      <c r="R62" s="28">
        <f>B62</f>
        <v>213</v>
      </c>
      <c r="S62" s="10" t="s">
        <v>507</v>
      </c>
      <c r="T62" s="158">
        <f t="shared" ref="T62:AE62" si="131">(T36*$A$62)+(T2*$B$62)</f>
        <v>209312</v>
      </c>
      <c r="U62" s="158">
        <f t="shared" si="131"/>
        <v>209312</v>
      </c>
      <c r="V62" s="158">
        <f t="shared" si="131"/>
        <v>207267.3</v>
      </c>
      <c r="W62" s="158">
        <f t="shared" si="131"/>
        <v>246246.2</v>
      </c>
      <c r="X62" s="158">
        <f t="shared" si="131"/>
        <v>282584.09999999998</v>
      </c>
      <c r="Y62" s="158">
        <f t="shared" si="131"/>
        <v>344194.25</v>
      </c>
      <c r="Z62" s="158">
        <f t="shared" si="131"/>
        <v>360669.80000000005</v>
      </c>
      <c r="AA62" s="158">
        <f t="shared" si="131"/>
        <v>311264.75</v>
      </c>
      <c r="AB62" s="158">
        <f t="shared" si="131"/>
        <v>302552.75</v>
      </c>
      <c r="AC62" s="158">
        <f t="shared" si="131"/>
        <v>246012</v>
      </c>
      <c r="AD62" s="158">
        <f t="shared" si="131"/>
        <v>222709.7</v>
      </c>
      <c r="AE62" s="158">
        <f t="shared" si="131"/>
        <v>203465.25</v>
      </c>
      <c r="AF62" s="22">
        <f>SUM(T62:AE62)</f>
        <v>3145590.1000000006</v>
      </c>
      <c r="AG62" s="28">
        <f>Q62</f>
        <v>6752</v>
      </c>
      <c r="AH62" s="28">
        <f>R62</f>
        <v>213</v>
      </c>
      <c r="AI62" s="10" t="s">
        <v>507</v>
      </c>
      <c r="AJ62" s="158">
        <f t="shared" ref="AJ62:AU62" si="132">(AJ36*$A$62)+(AJ2*$B$62)</f>
        <v>209312</v>
      </c>
      <c r="AK62" s="158">
        <f t="shared" si="132"/>
        <v>209312</v>
      </c>
      <c r="AL62" s="158">
        <f t="shared" si="132"/>
        <v>207267.3</v>
      </c>
      <c r="AM62" s="158">
        <f t="shared" si="132"/>
        <v>246246.2</v>
      </c>
      <c r="AN62" s="158">
        <f t="shared" si="132"/>
        <v>282584.09999999998</v>
      </c>
      <c r="AO62" s="158">
        <f t="shared" si="132"/>
        <v>344194.25</v>
      </c>
      <c r="AP62" s="158">
        <f t="shared" si="132"/>
        <v>360669.80000000005</v>
      </c>
      <c r="AQ62" s="158">
        <f t="shared" si="132"/>
        <v>311264.75</v>
      </c>
      <c r="AR62" s="158">
        <f t="shared" si="132"/>
        <v>302552.75</v>
      </c>
      <c r="AS62" s="158">
        <f t="shared" si="132"/>
        <v>246012</v>
      </c>
      <c r="AT62" s="158">
        <f t="shared" si="132"/>
        <v>222709.7</v>
      </c>
      <c r="AU62" s="158">
        <f t="shared" si="132"/>
        <v>203465.25</v>
      </c>
      <c r="AV62" s="22">
        <f>SUM(AJ62:AU62)</f>
        <v>3145590.1000000006</v>
      </c>
      <c r="AW62" s="10"/>
      <c r="AX62" s="158"/>
      <c r="AY62" s="158"/>
      <c r="AZ62" s="158"/>
      <c r="BA62" s="158"/>
      <c r="BB62" s="158"/>
      <c r="BC62" s="158"/>
      <c r="BD62" s="158"/>
      <c r="BE62" s="158"/>
      <c r="BF62" s="158"/>
      <c r="BG62" s="158"/>
      <c r="BH62" s="158"/>
      <c r="BI62" s="158"/>
    </row>
    <row r="63" spans="1:62" s="22" customFormat="1">
      <c r="A63" s="28"/>
      <c r="B63" s="28"/>
      <c r="C63" s="10" t="s">
        <v>654</v>
      </c>
      <c r="D63" s="158">
        <f>D62</f>
        <v>209312</v>
      </c>
      <c r="E63" s="158">
        <f>D63+E62</f>
        <v>418624</v>
      </c>
      <c r="F63" s="158">
        <f t="shared" ref="F63:O63" si="133">E63+F62</f>
        <v>625891.30000000005</v>
      </c>
      <c r="G63" s="158">
        <f t="shared" si="133"/>
        <v>872137.5</v>
      </c>
      <c r="H63" s="158">
        <f t="shared" si="133"/>
        <v>1154721.6000000001</v>
      </c>
      <c r="I63" s="158">
        <f t="shared" si="133"/>
        <v>1498915.85</v>
      </c>
      <c r="J63" s="158">
        <f t="shared" si="133"/>
        <v>1859585.6500000001</v>
      </c>
      <c r="K63" s="158">
        <f t="shared" si="133"/>
        <v>2174652.4500000002</v>
      </c>
      <c r="L63" s="158">
        <f t="shared" si="133"/>
        <v>2477205.2000000002</v>
      </c>
      <c r="M63" s="158">
        <f t="shared" si="133"/>
        <v>2723217.2</v>
      </c>
      <c r="N63" s="158">
        <f t="shared" si="133"/>
        <v>2945926.9000000004</v>
      </c>
      <c r="O63" s="158">
        <f t="shared" si="133"/>
        <v>3149392.1500000004</v>
      </c>
      <c r="Q63" s="131"/>
      <c r="R63" s="131"/>
      <c r="S63" s="10" t="s">
        <v>654</v>
      </c>
      <c r="T63" s="158">
        <f>T62</f>
        <v>209312</v>
      </c>
      <c r="U63" s="158">
        <f t="shared" ref="U63:AE63" si="134">T63+U62</f>
        <v>418624</v>
      </c>
      <c r="V63" s="158">
        <f t="shared" si="134"/>
        <v>625891.30000000005</v>
      </c>
      <c r="W63" s="158">
        <f t="shared" si="134"/>
        <v>872137.5</v>
      </c>
      <c r="X63" s="158">
        <f t="shared" si="134"/>
        <v>1154721.6000000001</v>
      </c>
      <c r="Y63" s="158">
        <f t="shared" si="134"/>
        <v>1498915.85</v>
      </c>
      <c r="Z63" s="158">
        <f t="shared" si="134"/>
        <v>1859585.6500000001</v>
      </c>
      <c r="AA63" s="158">
        <f t="shared" si="134"/>
        <v>2170850.4000000004</v>
      </c>
      <c r="AB63" s="158">
        <f t="shared" si="134"/>
        <v>2473403.1500000004</v>
      </c>
      <c r="AC63" s="158">
        <f t="shared" si="134"/>
        <v>2719415.1500000004</v>
      </c>
      <c r="AD63" s="158">
        <f t="shared" si="134"/>
        <v>2942124.8500000006</v>
      </c>
      <c r="AE63" s="158">
        <f t="shared" si="134"/>
        <v>3145590.1000000006</v>
      </c>
      <c r="AG63" s="13"/>
      <c r="AH63" s="13"/>
      <c r="AI63" s="10" t="s">
        <v>654</v>
      </c>
      <c r="AJ63" s="158">
        <f>AJ62</f>
        <v>209312</v>
      </c>
      <c r="AK63" s="158">
        <f t="shared" ref="AK63:AU63" si="135">AJ63+AK62</f>
        <v>418624</v>
      </c>
      <c r="AL63" s="158">
        <f t="shared" si="135"/>
        <v>625891.30000000005</v>
      </c>
      <c r="AM63" s="158">
        <f t="shared" si="135"/>
        <v>872137.5</v>
      </c>
      <c r="AN63" s="158">
        <f t="shared" si="135"/>
        <v>1154721.6000000001</v>
      </c>
      <c r="AO63" s="158">
        <f t="shared" si="135"/>
        <v>1498915.85</v>
      </c>
      <c r="AP63" s="158">
        <f t="shared" si="135"/>
        <v>1859585.6500000001</v>
      </c>
      <c r="AQ63" s="158">
        <f t="shared" si="135"/>
        <v>2170850.4000000004</v>
      </c>
      <c r="AR63" s="158">
        <f t="shared" si="135"/>
        <v>2473403.1500000004</v>
      </c>
      <c r="AS63" s="158">
        <f t="shared" si="135"/>
        <v>2719415.1500000004</v>
      </c>
      <c r="AT63" s="158">
        <f t="shared" si="135"/>
        <v>2942124.8500000006</v>
      </c>
      <c r="AU63" s="158">
        <f t="shared" si="135"/>
        <v>3145590.1000000006</v>
      </c>
      <c r="AW63" s="10"/>
      <c r="AX63" s="158"/>
      <c r="AY63" s="158"/>
      <c r="AZ63" s="158"/>
      <c r="BA63" s="158"/>
      <c r="BB63" s="158"/>
      <c r="BC63" s="158"/>
      <c r="BD63" s="158"/>
      <c r="BE63" s="158"/>
      <c r="BF63" s="158"/>
      <c r="BG63" s="158"/>
      <c r="BH63" s="158"/>
      <c r="BI63" s="158"/>
    </row>
    <row r="64" spans="1:62" s="22" customFormat="1">
      <c r="B64" s="124"/>
      <c r="C64" s="277" t="s">
        <v>508</v>
      </c>
      <c r="D64" s="158">
        <f>SUM(D54,D60,D58)</f>
        <v>224000</v>
      </c>
      <c r="E64" s="158">
        <f t="shared" ref="E64:O64" si="136">SUM(E54,E60,E58)</f>
        <v>233200</v>
      </c>
      <c r="F64" s="158">
        <f t="shared" si="136"/>
        <v>248800</v>
      </c>
      <c r="G64" s="158">
        <f t="shared" si="136"/>
        <v>269200</v>
      </c>
      <c r="H64" s="158">
        <f t="shared" si="136"/>
        <v>328200</v>
      </c>
      <c r="I64" s="158">
        <f t="shared" si="136"/>
        <v>421200</v>
      </c>
      <c r="J64" s="158">
        <f t="shared" si="136"/>
        <v>443200</v>
      </c>
      <c r="K64" s="158">
        <f t="shared" si="136"/>
        <v>359200</v>
      </c>
      <c r="L64" s="158">
        <f t="shared" si="136"/>
        <v>321200</v>
      </c>
      <c r="M64" s="158">
        <f t="shared" si="136"/>
        <v>301200</v>
      </c>
      <c r="N64" s="158">
        <f t="shared" si="136"/>
        <v>236200</v>
      </c>
      <c r="O64" s="158">
        <f t="shared" si="136"/>
        <v>244200</v>
      </c>
      <c r="P64" s="143">
        <f>SUM(D64:O64)</f>
        <v>3629800</v>
      </c>
      <c r="S64" s="277" t="s">
        <v>508</v>
      </c>
      <c r="T64" s="158">
        <f>SUM(T54,T60,T58)</f>
        <v>224940</v>
      </c>
      <c r="U64" s="158">
        <f t="shared" ref="U64:AE64" si="137">SUM(U54,U60,U58)</f>
        <v>239240</v>
      </c>
      <c r="V64" s="158">
        <f t="shared" si="137"/>
        <v>254540</v>
      </c>
      <c r="W64" s="158">
        <f t="shared" si="137"/>
        <v>278940</v>
      </c>
      <c r="X64" s="158">
        <f t="shared" si="137"/>
        <v>336440</v>
      </c>
      <c r="Y64" s="158">
        <f t="shared" si="137"/>
        <v>427440</v>
      </c>
      <c r="Z64" s="158">
        <f t="shared" si="137"/>
        <v>449440</v>
      </c>
      <c r="AA64" s="158">
        <f t="shared" si="137"/>
        <v>367440</v>
      </c>
      <c r="AB64" s="158">
        <f t="shared" si="137"/>
        <v>329440</v>
      </c>
      <c r="AC64" s="158">
        <f t="shared" si="137"/>
        <v>310440</v>
      </c>
      <c r="AD64" s="158">
        <f t="shared" si="137"/>
        <v>244940</v>
      </c>
      <c r="AE64" s="158">
        <f t="shared" si="137"/>
        <v>249440</v>
      </c>
      <c r="AF64" s="143">
        <f>SUM(T64:AE64)</f>
        <v>3712680</v>
      </c>
      <c r="AG64" s="13"/>
      <c r="AH64" s="13"/>
      <c r="AI64" s="277" t="s">
        <v>508</v>
      </c>
      <c r="AJ64" s="158">
        <f>SUM(AJ54,AJ60,AJ58)</f>
        <v>236500</v>
      </c>
      <c r="AK64" s="158">
        <f t="shared" ref="AK64:AU64" si="138">SUM(AK54,AK60,AK58)</f>
        <v>251500</v>
      </c>
      <c r="AL64" s="158">
        <f t="shared" si="138"/>
        <v>257200</v>
      </c>
      <c r="AM64" s="158">
        <f t="shared" si="138"/>
        <v>291700</v>
      </c>
      <c r="AN64" s="158">
        <f t="shared" si="138"/>
        <v>346200</v>
      </c>
      <c r="AO64" s="158">
        <f t="shared" si="138"/>
        <v>445200</v>
      </c>
      <c r="AP64" s="158">
        <f t="shared" si="138"/>
        <v>466200</v>
      </c>
      <c r="AQ64" s="158">
        <f t="shared" si="138"/>
        <v>373200</v>
      </c>
      <c r="AR64" s="158">
        <f t="shared" si="138"/>
        <v>338200</v>
      </c>
      <c r="AS64" s="158">
        <f t="shared" si="138"/>
        <v>320200</v>
      </c>
      <c r="AT64" s="158">
        <f t="shared" si="138"/>
        <v>257700</v>
      </c>
      <c r="AU64" s="158">
        <f t="shared" si="138"/>
        <v>257200</v>
      </c>
      <c r="AV64" s="143">
        <f>SUM(AJ64:AU64)</f>
        <v>3841000</v>
      </c>
      <c r="AW64" s="277"/>
      <c r="AX64" s="158"/>
      <c r="AY64" s="158"/>
      <c r="AZ64" s="158"/>
      <c r="BA64" s="158"/>
      <c r="BB64" s="158"/>
      <c r="BC64" s="158"/>
      <c r="BD64" s="158"/>
      <c r="BE64" s="158"/>
      <c r="BF64" s="158"/>
      <c r="BG64" s="158"/>
      <c r="BH64" s="158"/>
      <c r="BI64" s="158"/>
      <c r="BJ64" s="143"/>
    </row>
    <row r="65" spans="1:62" s="22" customFormat="1">
      <c r="A65" s="143">
        <f>SUM(A56,A62)</f>
        <v>7575</v>
      </c>
      <c r="B65" s="143">
        <f>SUM(B56,B62)</f>
        <v>213</v>
      </c>
      <c r="C65" s="277" t="s">
        <v>655</v>
      </c>
      <c r="D65" s="158">
        <f>D64</f>
        <v>224000</v>
      </c>
      <c r="E65" s="22">
        <f>D65+E64</f>
        <v>457200</v>
      </c>
      <c r="F65" s="22">
        <f t="shared" ref="F65:O65" si="139">E65+F64</f>
        <v>706000</v>
      </c>
      <c r="G65" s="22">
        <f t="shared" si="139"/>
        <v>975200</v>
      </c>
      <c r="H65" s="22">
        <f t="shared" si="139"/>
        <v>1303400</v>
      </c>
      <c r="I65" s="152">
        <f t="shared" si="139"/>
        <v>1724600</v>
      </c>
      <c r="J65" s="152">
        <f t="shared" si="139"/>
        <v>2167800</v>
      </c>
      <c r="K65" s="152">
        <f t="shared" si="139"/>
        <v>2527000</v>
      </c>
      <c r="L65" s="152">
        <f t="shared" si="139"/>
        <v>2848200</v>
      </c>
      <c r="M65" s="152">
        <f t="shared" si="139"/>
        <v>3149400</v>
      </c>
      <c r="N65" s="22">
        <f t="shared" si="139"/>
        <v>3385600</v>
      </c>
      <c r="O65" s="22">
        <f t="shared" si="139"/>
        <v>3629800</v>
      </c>
      <c r="P65" s="175">
        <f>P64/P66</f>
        <v>1.047807131320835</v>
      </c>
      <c r="Q65" s="131"/>
      <c r="R65" s="131"/>
      <c r="S65" s="277" t="s">
        <v>655</v>
      </c>
      <c r="T65" s="158">
        <f>T64</f>
        <v>224940</v>
      </c>
      <c r="U65" s="22">
        <f t="shared" ref="U65:AE65" si="140">T65+U64</f>
        <v>464180</v>
      </c>
      <c r="V65" s="22">
        <f t="shared" si="140"/>
        <v>718720</v>
      </c>
      <c r="W65" s="22">
        <f t="shared" si="140"/>
        <v>997660</v>
      </c>
      <c r="X65" s="22">
        <f t="shared" si="140"/>
        <v>1334100</v>
      </c>
      <c r="Y65" s="22">
        <f t="shared" si="140"/>
        <v>1761540</v>
      </c>
      <c r="Z65" s="22">
        <f t="shared" si="140"/>
        <v>2210980</v>
      </c>
      <c r="AA65" s="22">
        <f t="shared" si="140"/>
        <v>2578420</v>
      </c>
      <c r="AB65" s="22">
        <f t="shared" si="140"/>
        <v>2907860</v>
      </c>
      <c r="AC65" s="22">
        <f t="shared" si="140"/>
        <v>3218300</v>
      </c>
      <c r="AD65" s="22">
        <f t="shared" si="140"/>
        <v>3463240</v>
      </c>
      <c r="AE65" s="22">
        <f t="shared" si="140"/>
        <v>3712680</v>
      </c>
      <c r="AG65" s="13"/>
      <c r="AH65" s="13"/>
      <c r="AI65" s="277" t="s">
        <v>655</v>
      </c>
      <c r="AJ65" s="158">
        <f>AJ64</f>
        <v>236500</v>
      </c>
      <c r="AK65" s="22">
        <f t="shared" ref="AK65:AU65" si="141">AJ65+AK64</f>
        <v>488000</v>
      </c>
      <c r="AL65" s="22">
        <f t="shared" si="141"/>
        <v>745200</v>
      </c>
      <c r="AM65" s="22">
        <f t="shared" si="141"/>
        <v>1036900</v>
      </c>
      <c r="AN65" s="22">
        <f t="shared" si="141"/>
        <v>1383100</v>
      </c>
      <c r="AO65" s="22">
        <f t="shared" si="141"/>
        <v>1828300</v>
      </c>
      <c r="AP65" s="22">
        <f t="shared" si="141"/>
        <v>2294500</v>
      </c>
      <c r="AQ65" s="22">
        <f t="shared" si="141"/>
        <v>2667700</v>
      </c>
      <c r="AR65" s="22">
        <f t="shared" si="141"/>
        <v>3005900</v>
      </c>
      <c r="AS65" s="22">
        <f t="shared" si="141"/>
        <v>3326100</v>
      </c>
      <c r="AT65" s="22">
        <f t="shared" si="141"/>
        <v>3583800</v>
      </c>
      <c r="AU65" s="22">
        <f t="shared" si="141"/>
        <v>3841000</v>
      </c>
      <c r="AW65" s="277"/>
      <c r="AX65" s="158"/>
    </row>
    <row r="66" spans="1:62" s="22" customFormat="1">
      <c r="A66" s="131"/>
      <c r="B66" s="131"/>
      <c r="C66" s="24" t="s">
        <v>509</v>
      </c>
      <c r="D66" s="158">
        <f>SUM(D56,D62,D58)</f>
        <v>236025</v>
      </c>
      <c r="E66" s="158">
        <f t="shared" ref="E66:O66" si="142">SUM(E56,E62,E58)</f>
        <v>236025</v>
      </c>
      <c r="F66" s="158">
        <f t="shared" si="142"/>
        <v>233157.3</v>
      </c>
      <c r="G66" s="158">
        <f t="shared" si="142"/>
        <v>272959.2</v>
      </c>
      <c r="H66" s="158">
        <f t="shared" si="142"/>
        <v>308474.09999999998</v>
      </c>
      <c r="I66" s="158">
        <f t="shared" si="142"/>
        <v>370907.25</v>
      </c>
      <c r="J66" s="158">
        <f t="shared" si="142"/>
        <v>387382.80000000005</v>
      </c>
      <c r="K66" s="158">
        <f t="shared" si="142"/>
        <v>339310.8</v>
      </c>
      <c r="L66" s="158">
        <f t="shared" si="142"/>
        <v>329265.75</v>
      </c>
      <c r="M66" s="158">
        <f t="shared" si="142"/>
        <v>271902</v>
      </c>
      <c r="N66" s="158">
        <f t="shared" si="142"/>
        <v>249422.7</v>
      </c>
      <c r="O66" s="158">
        <f t="shared" si="142"/>
        <v>229355.25</v>
      </c>
      <c r="P66" s="22">
        <f>SUM(D66:O66)</f>
        <v>3464187.1500000004</v>
      </c>
      <c r="Q66" s="28">
        <f>SUM(Q56,Q62)</f>
        <v>7575</v>
      </c>
      <c r="R66" s="28">
        <f>SUM(R56,R62)</f>
        <v>213</v>
      </c>
      <c r="S66" s="10" t="s">
        <v>509</v>
      </c>
      <c r="T66" s="158">
        <f t="shared" ref="T66:AE66" si="143">SUM(T56,T62)</f>
        <v>234825</v>
      </c>
      <c r="U66" s="158">
        <f t="shared" si="143"/>
        <v>234825</v>
      </c>
      <c r="V66" s="158">
        <f t="shared" si="143"/>
        <v>231957.3</v>
      </c>
      <c r="W66" s="158">
        <f t="shared" si="143"/>
        <v>271759.2</v>
      </c>
      <c r="X66" s="158">
        <f t="shared" si="143"/>
        <v>307274.09999999998</v>
      </c>
      <c r="Y66" s="158">
        <f t="shared" si="143"/>
        <v>369707.25</v>
      </c>
      <c r="Z66" s="158">
        <f t="shared" si="143"/>
        <v>386182.80000000005</v>
      </c>
      <c r="AA66" s="158">
        <f t="shared" si="143"/>
        <v>334308.75</v>
      </c>
      <c r="AB66" s="158">
        <f t="shared" si="143"/>
        <v>328065.75</v>
      </c>
      <c r="AC66" s="158">
        <f t="shared" si="143"/>
        <v>270702</v>
      </c>
      <c r="AD66" s="158">
        <f t="shared" si="143"/>
        <v>248222.7</v>
      </c>
      <c r="AE66" s="158">
        <f t="shared" si="143"/>
        <v>228155.25</v>
      </c>
      <c r="AF66" s="22">
        <f>SUM(T66:AE66)</f>
        <v>3445985.1000000006</v>
      </c>
      <c r="AG66" s="28">
        <f>SUM(AG56,AG62)</f>
        <v>7575</v>
      </c>
      <c r="AH66" s="28">
        <f>SUM(AH56,AH62)</f>
        <v>213</v>
      </c>
      <c r="AI66" s="10" t="s">
        <v>509</v>
      </c>
      <c r="AJ66" s="158">
        <f t="shared" ref="AJ66:AU66" si="144">SUM(AJ56,AJ62)</f>
        <v>234825</v>
      </c>
      <c r="AK66" s="158">
        <f t="shared" si="144"/>
        <v>234825</v>
      </c>
      <c r="AL66" s="158">
        <f t="shared" si="144"/>
        <v>231957.3</v>
      </c>
      <c r="AM66" s="158">
        <f t="shared" si="144"/>
        <v>271759.2</v>
      </c>
      <c r="AN66" s="158">
        <f t="shared" si="144"/>
        <v>307274.09999999998</v>
      </c>
      <c r="AO66" s="158">
        <f t="shared" si="144"/>
        <v>369707.25</v>
      </c>
      <c r="AP66" s="158">
        <f t="shared" si="144"/>
        <v>386182.80000000005</v>
      </c>
      <c r="AQ66" s="158">
        <f t="shared" si="144"/>
        <v>334308.75</v>
      </c>
      <c r="AR66" s="158">
        <f t="shared" si="144"/>
        <v>328065.75</v>
      </c>
      <c r="AS66" s="158">
        <f t="shared" si="144"/>
        <v>270702</v>
      </c>
      <c r="AT66" s="158">
        <f t="shared" si="144"/>
        <v>248222.7</v>
      </c>
      <c r="AU66" s="158">
        <f t="shared" si="144"/>
        <v>228155.25</v>
      </c>
      <c r="AV66" s="22">
        <f>SUM(AJ66:AU66)</f>
        <v>3445985.1000000006</v>
      </c>
      <c r="AW66" s="10"/>
      <c r="AX66" s="158"/>
      <c r="AY66" s="158"/>
      <c r="AZ66" s="158"/>
      <c r="BA66" s="158"/>
      <c r="BB66" s="158"/>
      <c r="BC66" s="158"/>
      <c r="BD66" s="158"/>
      <c r="BE66" s="158"/>
      <c r="BF66" s="158"/>
      <c r="BG66" s="158"/>
      <c r="BH66" s="158"/>
      <c r="BI66" s="158"/>
    </row>
    <row r="67" spans="1:62" s="22" customFormat="1">
      <c r="A67" s="140">
        <f>A65/A68</f>
        <v>0.46921456888007929</v>
      </c>
      <c r="B67" s="140">
        <f>B65/B68</f>
        <v>8.4323040380047509E-2</v>
      </c>
      <c r="C67" s="10" t="s">
        <v>656</v>
      </c>
      <c r="D67" s="158">
        <f>D66</f>
        <v>236025</v>
      </c>
      <c r="E67" s="22">
        <f>D67+E66</f>
        <v>472050</v>
      </c>
      <c r="F67" s="22">
        <f t="shared" ref="F67:O67" si="145">E67+F66</f>
        <v>705207.3</v>
      </c>
      <c r="G67" s="22">
        <f t="shared" si="145"/>
        <v>978166.5</v>
      </c>
      <c r="H67" s="22">
        <f t="shared" si="145"/>
        <v>1286640.6000000001</v>
      </c>
      <c r="I67" s="152">
        <f t="shared" si="145"/>
        <v>1657547.85</v>
      </c>
      <c r="J67" s="152">
        <f t="shared" si="145"/>
        <v>2044930.6500000001</v>
      </c>
      <c r="K67" s="152">
        <f t="shared" si="145"/>
        <v>2384241.4500000002</v>
      </c>
      <c r="L67" s="152">
        <f t="shared" si="145"/>
        <v>2713507.2</v>
      </c>
      <c r="M67" s="152">
        <f t="shared" si="145"/>
        <v>2985409.2</v>
      </c>
      <c r="N67" s="22">
        <f t="shared" si="145"/>
        <v>3234831.9000000004</v>
      </c>
      <c r="O67" s="22">
        <f t="shared" si="145"/>
        <v>3464187.1500000004</v>
      </c>
      <c r="Q67" s="131"/>
      <c r="R67" s="131"/>
      <c r="S67" s="10" t="s">
        <v>656</v>
      </c>
      <c r="T67" s="158">
        <f>T66</f>
        <v>234825</v>
      </c>
      <c r="U67" s="22">
        <f t="shared" ref="U67:AE67" si="146">T67+U66</f>
        <v>469650</v>
      </c>
      <c r="V67" s="22">
        <f t="shared" si="146"/>
        <v>701607.3</v>
      </c>
      <c r="W67" s="22">
        <f t="shared" si="146"/>
        <v>973366.5</v>
      </c>
      <c r="X67" s="22">
        <f t="shared" si="146"/>
        <v>1280640.6000000001</v>
      </c>
      <c r="Y67" s="22">
        <f t="shared" si="146"/>
        <v>1650347.85</v>
      </c>
      <c r="Z67" s="22">
        <f t="shared" si="146"/>
        <v>2036530.6500000001</v>
      </c>
      <c r="AA67" s="22">
        <f t="shared" si="146"/>
        <v>2370839.4000000004</v>
      </c>
      <c r="AB67" s="22">
        <f t="shared" si="146"/>
        <v>2698905.1500000004</v>
      </c>
      <c r="AC67" s="22">
        <f t="shared" si="146"/>
        <v>2969607.1500000004</v>
      </c>
      <c r="AD67" s="22">
        <f t="shared" si="146"/>
        <v>3217829.8500000006</v>
      </c>
      <c r="AE67" s="22">
        <f t="shared" si="146"/>
        <v>3445985.1000000006</v>
      </c>
      <c r="AG67" s="13"/>
      <c r="AH67" s="13"/>
      <c r="AI67" s="10" t="s">
        <v>656</v>
      </c>
      <c r="AJ67" s="158">
        <f>AJ66</f>
        <v>234825</v>
      </c>
      <c r="AK67" s="22">
        <f t="shared" ref="AK67:AU67" si="147">AJ67+AK66</f>
        <v>469650</v>
      </c>
      <c r="AL67" s="22">
        <f t="shared" si="147"/>
        <v>701607.3</v>
      </c>
      <c r="AM67" s="22">
        <f t="shared" si="147"/>
        <v>973366.5</v>
      </c>
      <c r="AN67" s="22">
        <f t="shared" si="147"/>
        <v>1280640.6000000001</v>
      </c>
      <c r="AO67" s="22">
        <f t="shared" si="147"/>
        <v>1650347.85</v>
      </c>
      <c r="AP67" s="22">
        <f t="shared" si="147"/>
        <v>2036530.6500000001</v>
      </c>
      <c r="AQ67" s="22">
        <f t="shared" si="147"/>
        <v>2370839.4000000004</v>
      </c>
      <c r="AR67" s="22">
        <f t="shared" si="147"/>
        <v>2698905.1500000004</v>
      </c>
      <c r="AS67" s="22">
        <f t="shared" si="147"/>
        <v>2969607.1500000004</v>
      </c>
      <c r="AT67" s="22">
        <f t="shared" si="147"/>
        <v>3217829.8500000006</v>
      </c>
      <c r="AU67" s="22">
        <f t="shared" si="147"/>
        <v>3445985.1000000006</v>
      </c>
      <c r="AW67" s="10"/>
      <c r="AX67" s="158"/>
    </row>
    <row r="68" spans="1:62" s="22" customFormat="1">
      <c r="A68" s="143">
        <f>A52+A65</f>
        <v>16144</v>
      </c>
      <c r="B68" s="143">
        <f>B52+B65</f>
        <v>2526</v>
      </c>
      <c r="C68" s="27" t="s">
        <v>415</v>
      </c>
      <c r="D68" s="158">
        <f t="shared" ref="D68:O68" si="148">SUM(D52,D64)</f>
        <v>489639</v>
      </c>
      <c r="E68" s="158">
        <f t="shared" si="148"/>
        <v>498839</v>
      </c>
      <c r="F68" s="158">
        <f t="shared" si="148"/>
        <v>556987.30000000005</v>
      </c>
      <c r="G68" s="158">
        <f t="shared" si="148"/>
        <v>935913.2</v>
      </c>
      <c r="H68" s="158">
        <f t="shared" si="148"/>
        <v>1454264.1</v>
      </c>
      <c r="I68" s="158">
        <f t="shared" si="148"/>
        <v>2151546.25</v>
      </c>
      <c r="J68" s="158">
        <f t="shared" si="148"/>
        <v>2352456.7999999998</v>
      </c>
      <c r="K68" s="158">
        <f t="shared" si="148"/>
        <v>1967502.8</v>
      </c>
      <c r="L68" s="158">
        <f t="shared" si="148"/>
        <v>1599354.75</v>
      </c>
      <c r="M68" s="158">
        <f t="shared" si="148"/>
        <v>1030122</v>
      </c>
      <c r="N68" s="158">
        <f t="shared" si="148"/>
        <v>647326.69999999995</v>
      </c>
      <c r="O68" s="158">
        <f t="shared" si="148"/>
        <v>511100.25</v>
      </c>
      <c r="P68" s="143">
        <f>SUM(D68:O68)</f>
        <v>14195052.149999999</v>
      </c>
      <c r="Q68" s="131"/>
      <c r="R68" s="131"/>
      <c r="S68" s="27" t="s">
        <v>415</v>
      </c>
      <c r="T68" s="158">
        <f t="shared" ref="T68:AE68" si="149">SUM(T52,T64)</f>
        <v>493834</v>
      </c>
      <c r="U68" s="158">
        <f t="shared" si="149"/>
        <v>508134</v>
      </c>
      <c r="V68" s="158">
        <f t="shared" si="149"/>
        <v>566474</v>
      </c>
      <c r="W68" s="158">
        <f t="shared" si="149"/>
        <v>953590.00000000012</v>
      </c>
      <c r="X68" s="158">
        <f t="shared" si="149"/>
        <v>1475798</v>
      </c>
      <c r="Y68" s="158">
        <f t="shared" si="149"/>
        <v>2178139</v>
      </c>
      <c r="Z68" s="158">
        <f t="shared" si="149"/>
        <v>2381138</v>
      </c>
      <c r="AA68" s="158">
        <f t="shared" si="149"/>
        <v>1952887</v>
      </c>
      <c r="AB68" s="158">
        <f t="shared" si="149"/>
        <v>1622669</v>
      </c>
      <c r="AC68" s="158">
        <f t="shared" si="149"/>
        <v>1048020</v>
      </c>
      <c r="AD68" s="158">
        <f t="shared" si="149"/>
        <v>661020</v>
      </c>
      <c r="AE68" s="158">
        <f t="shared" si="149"/>
        <v>519605</v>
      </c>
      <c r="AF68" s="143">
        <f>SUM(T68:AE68)</f>
        <v>14361308</v>
      </c>
      <c r="AG68" s="13"/>
      <c r="AH68" s="13"/>
      <c r="AI68" s="27" t="s">
        <v>415</v>
      </c>
      <c r="AJ68" s="158">
        <f t="shared" ref="AJ68:AU68" si="150">SUM(AJ52,AJ64)</f>
        <v>509238</v>
      </c>
      <c r="AK68" s="158">
        <f t="shared" si="150"/>
        <v>524238</v>
      </c>
      <c r="AL68" s="158">
        <f t="shared" si="150"/>
        <v>573583.30000000005</v>
      </c>
      <c r="AM68" s="158">
        <f t="shared" si="150"/>
        <v>975916.2</v>
      </c>
      <c r="AN68" s="158">
        <f t="shared" si="150"/>
        <v>1501676.1</v>
      </c>
      <c r="AO68" s="158">
        <f t="shared" si="150"/>
        <v>2220640.25</v>
      </c>
      <c r="AP68" s="158">
        <f t="shared" si="150"/>
        <v>2425191.8000000003</v>
      </c>
      <c r="AQ68" s="158">
        <f t="shared" si="150"/>
        <v>1981052.75</v>
      </c>
      <c r="AR68" s="158">
        <f t="shared" si="150"/>
        <v>1649718.75</v>
      </c>
      <c r="AS68" s="158">
        <f t="shared" si="150"/>
        <v>1068232</v>
      </c>
      <c r="AT68" s="158">
        <f t="shared" si="150"/>
        <v>679699.7</v>
      </c>
      <c r="AU68" s="158">
        <f t="shared" si="150"/>
        <v>531225.25</v>
      </c>
      <c r="AV68" s="143">
        <f>SUM(AJ68:AU68)</f>
        <v>14640412.1</v>
      </c>
      <c r="AW68" s="27"/>
      <c r="AX68" s="158"/>
      <c r="AY68" s="158"/>
      <c r="AZ68" s="158"/>
      <c r="BA68" s="158"/>
      <c r="BB68" s="158"/>
      <c r="BC68" s="158"/>
      <c r="BD68" s="158"/>
      <c r="BE68" s="158"/>
      <c r="BF68" s="158"/>
      <c r="BG68" s="158"/>
      <c r="BH68" s="158"/>
      <c r="BI68" s="158"/>
      <c r="BJ68" s="143"/>
    </row>
    <row r="69" spans="1:62" s="22" customFormat="1">
      <c r="A69" s="131"/>
      <c r="B69" s="131"/>
      <c r="C69" s="27" t="s">
        <v>657</v>
      </c>
      <c r="D69" s="158">
        <f>D68</f>
        <v>489639</v>
      </c>
      <c r="E69" s="22">
        <f>D69+E68</f>
        <v>988478</v>
      </c>
      <c r="F69" s="22">
        <f t="shared" ref="F69:O69" si="151">E69+F68</f>
        <v>1545465.3</v>
      </c>
      <c r="G69" s="22">
        <f t="shared" si="151"/>
        <v>2481378.5</v>
      </c>
      <c r="H69" s="22">
        <f t="shared" si="151"/>
        <v>3935642.6</v>
      </c>
      <c r="I69" s="152">
        <f t="shared" si="151"/>
        <v>6087188.8499999996</v>
      </c>
      <c r="J69" s="152">
        <f t="shared" si="151"/>
        <v>8439645.6499999985</v>
      </c>
      <c r="K69" s="152">
        <f t="shared" si="151"/>
        <v>10407148.449999999</v>
      </c>
      <c r="L69" s="152">
        <f t="shared" si="151"/>
        <v>12006503.199999999</v>
      </c>
      <c r="M69" s="152">
        <f t="shared" si="151"/>
        <v>13036625.199999999</v>
      </c>
      <c r="N69" s="22">
        <f t="shared" si="151"/>
        <v>13683951.899999999</v>
      </c>
      <c r="O69" s="22">
        <f t="shared" si="151"/>
        <v>14195052.149999999</v>
      </c>
      <c r="Q69" s="131"/>
      <c r="R69" s="131"/>
      <c r="S69" s="27" t="s">
        <v>657</v>
      </c>
      <c r="T69" s="158">
        <f>T68</f>
        <v>493834</v>
      </c>
      <c r="U69" s="22">
        <f t="shared" ref="U69:AE69" si="152">T69+U68</f>
        <v>1001968</v>
      </c>
      <c r="V69" s="22">
        <f t="shared" si="152"/>
        <v>1568442</v>
      </c>
      <c r="W69" s="22">
        <f t="shared" si="152"/>
        <v>2522032</v>
      </c>
      <c r="X69" s="22">
        <f t="shared" si="152"/>
        <v>3997830</v>
      </c>
      <c r="Y69" s="22">
        <f t="shared" si="152"/>
        <v>6175969</v>
      </c>
      <c r="Z69" s="22">
        <f t="shared" si="152"/>
        <v>8557107</v>
      </c>
      <c r="AA69" s="22">
        <f t="shared" si="152"/>
        <v>10509994</v>
      </c>
      <c r="AB69" s="22">
        <f t="shared" si="152"/>
        <v>12132663</v>
      </c>
      <c r="AC69" s="22">
        <f t="shared" si="152"/>
        <v>13180683</v>
      </c>
      <c r="AD69" s="22">
        <f t="shared" si="152"/>
        <v>13841703</v>
      </c>
      <c r="AE69" s="22">
        <f t="shared" si="152"/>
        <v>14361308</v>
      </c>
      <c r="AG69" s="13"/>
      <c r="AH69" s="13"/>
      <c r="AI69" s="27" t="s">
        <v>657</v>
      </c>
      <c r="AJ69" s="158">
        <f>AJ68</f>
        <v>509238</v>
      </c>
      <c r="AK69" s="22">
        <f t="shared" ref="AK69:AU69" si="153">AJ69+AK68</f>
        <v>1033476</v>
      </c>
      <c r="AL69" s="22">
        <f t="shared" si="153"/>
        <v>1607059.3</v>
      </c>
      <c r="AM69" s="22">
        <f t="shared" si="153"/>
        <v>2582975.5</v>
      </c>
      <c r="AN69" s="22">
        <f t="shared" si="153"/>
        <v>4084651.6</v>
      </c>
      <c r="AO69" s="22">
        <f t="shared" si="153"/>
        <v>6305291.8499999996</v>
      </c>
      <c r="AP69" s="22">
        <f t="shared" si="153"/>
        <v>8730483.6500000004</v>
      </c>
      <c r="AQ69" s="22">
        <f t="shared" si="153"/>
        <v>10711536.4</v>
      </c>
      <c r="AR69" s="22">
        <f t="shared" si="153"/>
        <v>12361255.15</v>
      </c>
      <c r="AS69" s="22">
        <f t="shared" si="153"/>
        <v>13429487.15</v>
      </c>
      <c r="AT69" s="22">
        <f t="shared" si="153"/>
        <v>14109186.85</v>
      </c>
      <c r="AU69" s="22">
        <f t="shared" si="153"/>
        <v>14640412.1</v>
      </c>
      <c r="AW69" s="27"/>
      <c r="AX69" s="158"/>
    </row>
    <row r="70" spans="1:62" s="22" customFormat="1">
      <c r="A70" s="13"/>
      <c r="B70" s="13"/>
      <c r="D70" s="158">
        <f>D54/D36</f>
        <v>90.322580645161295</v>
      </c>
      <c r="E70" s="158">
        <f t="shared" ref="E70:O70" si="154">E54/E36</f>
        <v>64.516129032258064</v>
      </c>
      <c r="F70" s="158">
        <f t="shared" si="154"/>
        <v>86.666666666666671</v>
      </c>
      <c r="G70" s="158">
        <f t="shared" si="154"/>
        <v>258.06451612903226</v>
      </c>
      <c r="H70" s="158">
        <f t="shared" si="154"/>
        <v>566.66666666666663</v>
      </c>
      <c r="I70" s="158">
        <f t="shared" si="154"/>
        <v>967.74193548387098</v>
      </c>
      <c r="J70" s="158">
        <f t="shared" si="154"/>
        <v>1032.258064516129</v>
      </c>
      <c r="K70" s="158">
        <f t="shared" si="154"/>
        <v>1000</v>
      </c>
      <c r="L70" s="158">
        <f t="shared" si="154"/>
        <v>645.16129032258061</v>
      </c>
      <c r="M70" s="158">
        <f t="shared" si="154"/>
        <v>333.33333333333331</v>
      </c>
      <c r="N70" s="158">
        <f t="shared" si="154"/>
        <v>161.29032258064515</v>
      </c>
      <c r="O70" s="158">
        <f t="shared" si="154"/>
        <v>100</v>
      </c>
      <c r="Q70" s="13"/>
      <c r="R70" s="13"/>
      <c r="T70" s="158">
        <f>T54/T36</f>
        <v>80.645161290322577</v>
      </c>
      <c r="U70" s="158">
        <f t="shared" ref="U70:AE70" si="155">U54/U36</f>
        <v>58.064516129032256</v>
      </c>
      <c r="V70" s="158">
        <f t="shared" si="155"/>
        <v>70</v>
      </c>
      <c r="W70" s="158">
        <f t="shared" si="155"/>
        <v>209.67741935483872</v>
      </c>
      <c r="X70" s="158">
        <f t="shared" si="155"/>
        <v>466.66666666666669</v>
      </c>
      <c r="Y70" s="158">
        <f t="shared" si="155"/>
        <v>806.45161290322585</v>
      </c>
      <c r="Z70" s="158">
        <f t="shared" si="155"/>
        <v>870.9677419354839</v>
      </c>
      <c r="AA70" s="158">
        <f t="shared" si="155"/>
        <v>892.85714285714289</v>
      </c>
      <c r="AB70" s="158">
        <f t="shared" si="155"/>
        <v>548.38709677419354</v>
      </c>
      <c r="AC70" s="158">
        <f t="shared" si="155"/>
        <v>266.66666666666669</v>
      </c>
      <c r="AD70" s="158">
        <f t="shared" si="155"/>
        <v>80.645161290322577</v>
      </c>
      <c r="AE70" s="158">
        <f t="shared" si="155"/>
        <v>66.666666666666671</v>
      </c>
      <c r="AG70" s="13"/>
      <c r="AH70" s="13"/>
      <c r="AJ70" s="158">
        <f>AJ54/AJ36</f>
        <v>41.935483870967744</v>
      </c>
      <c r="AK70" s="158">
        <f t="shared" ref="AK70:AU70" si="156">AK54/AK36</f>
        <v>364.51612903225805</v>
      </c>
      <c r="AL70" s="158">
        <f t="shared" si="156"/>
        <v>66.666666666666671</v>
      </c>
      <c r="AM70" s="158">
        <f t="shared" si="156"/>
        <v>209.67741935483872</v>
      </c>
      <c r="AN70" s="158">
        <f t="shared" si="156"/>
        <v>366.66666666666669</v>
      </c>
      <c r="AO70" s="158">
        <f t="shared" si="156"/>
        <v>645.16129032258061</v>
      </c>
      <c r="AP70" s="158">
        <f t="shared" si="156"/>
        <v>677.41935483870964</v>
      </c>
      <c r="AQ70" s="158">
        <f t="shared" si="156"/>
        <v>642.85714285714289</v>
      </c>
      <c r="AR70" s="158">
        <f t="shared" si="156"/>
        <v>419.35483870967744</v>
      </c>
      <c r="AS70" s="158">
        <f t="shared" si="156"/>
        <v>166.66666666666666</v>
      </c>
      <c r="AT70" s="158">
        <f t="shared" si="156"/>
        <v>80.645161290322577</v>
      </c>
      <c r="AU70" s="158">
        <f t="shared" si="156"/>
        <v>66.666666666666671</v>
      </c>
      <c r="AX70" s="158"/>
      <c r="AY70" s="158"/>
      <c r="AZ70" s="158"/>
      <c r="BA70" s="158"/>
      <c r="BB70" s="158"/>
      <c r="BC70" s="158"/>
      <c r="BD70" s="158"/>
      <c r="BE70" s="158"/>
      <c r="BF70" s="158"/>
      <c r="BG70" s="158"/>
      <c r="BH70" s="158"/>
      <c r="BI70" s="158"/>
    </row>
    <row r="71" spans="1:62">
      <c r="D71" s="22"/>
      <c r="E71" s="22"/>
      <c r="F71" s="22"/>
      <c r="G71" s="22"/>
      <c r="H71" s="22"/>
      <c r="I71" s="152"/>
      <c r="J71" s="152"/>
      <c r="K71" s="152"/>
      <c r="L71" s="152"/>
      <c r="M71" s="152"/>
      <c r="N71" s="22"/>
      <c r="O71" s="22"/>
      <c r="P71" s="151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151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151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151"/>
    </row>
    <row r="72" spans="1:62">
      <c r="C72" s="11" t="s">
        <v>83</v>
      </c>
      <c r="D72" s="149">
        <v>40725</v>
      </c>
      <c r="E72" s="149">
        <v>40756</v>
      </c>
      <c r="F72" s="149">
        <v>40787</v>
      </c>
      <c r="G72" s="149">
        <v>40817</v>
      </c>
      <c r="H72" s="149">
        <v>40848</v>
      </c>
      <c r="I72" s="149">
        <v>40878</v>
      </c>
      <c r="J72" s="149">
        <v>40909</v>
      </c>
      <c r="K72" s="149">
        <v>40940</v>
      </c>
      <c r="L72" s="149">
        <v>40969</v>
      </c>
      <c r="M72" s="149">
        <v>41000</v>
      </c>
      <c r="N72" s="149">
        <v>41030</v>
      </c>
      <c r="O72" s="149">
        <v>41061</v>
      </c>
      <c r="P72" s="11" t="s">
        <v>857</v>
      </c>
      <c r="S72" s="13"/>
      <c r="T72" s="149"/>
      <c r="U72" s="149"/>
      <c r="V72" s="149"/>
      <c r="W72" s="149"/>
      <c r="X72" s="149"/>
      <c r="Y72" s="149"/>
      <c r="Z72" s="149"/>
      <c r="AA72" s="149"/>
      <c r="AB72" s="149"/>
      <c r="AC72" s="149"/>
      <c r="AD72" s="149"/>
      <c r="AE72" s="149"/>
      <c r="AF72" s="11"/>
      <c r="AI72" s="13"/>
      <c r="AJ72" s="181"/>
      <c r="AK72" s="181"/>
      <c r="AL72" s="181"/>
      <c r="AM72" s="181"/>
      <c r="AN72" s="181"/>
      <c r="AO72" s="181"/>
      <c r="AP72" s="181"/>
      <c r="AQ72" s="181"/>
      <c r="AR72" s="181"/>
      <c r="AS72" s="181"/>
      <c r="AT72" s="181"/>
      <c r="AU72" s="181"/>
      <c r="AV72" s="13"/>
      <c r="AW72" s="13"/>
      <c r="AX72" s="181"/>
      <c r="AY72" s="181"/>
      <c r="AZ72" s="181"/>
      <c r="BA72" s="181"/>
      <c r="BB72" s="181"/>
      <c r="BC72" s="181"/>
      <c r="BD72" s="181"/>
      <c r="BE72" s="181"/>
      <c r="BF72" s="181"/>
      <c r="BG72" s="181"/>
      <c r="BH72" s="181"/>
      <c r="BI72" s="181"/>
      <c r="BJ72" s="13"/>
    </row>
    <row r="73" spans="1:62" s="22" customFormat="1">
      <c r="C73" s="22" t="s">
        <v>497</v>
      </c>
      <c r="D73" s="394">
        <v>102094.8</v>
      </c>
      <c r="E73" s="394">
        <v>125059.3</v>
      </c>
      <c r="F73" s="394">
        <v>137773.9</v>
      </c>
      <c r="G73" s="394">
        <v>305135.40000000002</v>
      </c>
      <c r="H73" s="394">
        <v>615849.5</v>
      </c>
      <c r="I73" s="419">
        <v>947556.8</v>
      </c>
      <c r="J73" s="419">
        <v>1063794.5</v>
      </c>
      <c r="K73" s="419">
        <v>946474.3</v>
      </c>
      <c r="L73" s="419">
        <v>426964.7</v>
      </c>
      <c r="M73" s="419">
        <v>296034.2</v>
      </c>
      <c r="N73" s="419">
        <v>167345</v>
      </c>
      <c r="O73" s="419">
        <v>126363.2</v>
      </c>
      <c r="P73" s="59">
        <f>SUM(D73:O73)</f>
        <v>5260445.6000000006</v>
      </c>
      <c r="S73" s="28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59"/>
      <c r="AI73" s="28"/>
      <c r="AJ73" s="276"/>
      <c r="AK73" s="276"/>
      <c r="AL73" s="276"/>
      <c r="AM73" s="276"/>
      <c r="AN73" s="276"/>
      <c r="AO73" s="276"/>
      <c r="AP73" s="276"/>
      <c r="AQ73" s="276"/>
      <c r="AR73" s="276"/>
      <c r="AS73" s="276"/>
      <c r="AT73" s="276"/>
      <c r="AU73" s="276"/>
      <c r="AV73" s="131"/>
      <c r="AW73" s="28"/>
      <c r="AX73" s="276"/>
      <c r="AY73" s="276"/>
      <c r="AZ73" s="276"/>
      <c r="BA73" s="276"/>
      <c r="BB73" s="276"/>
      <c r="BC73" s="276"/>
      <c r="BD73" s="276"/>
      <c r="BE73" s="276"/>
      <c r="BF73" s="276"/>
      <c r="BG73" s="276"/>
      <c r="BH73" s="276"/>
      <c r="BI73" s="276"/>
      <c r="BJ73" s="131"/>
    </row>
    <row r="74" spans="1:62" s="22" customFormat="1">
      <c r="C74" s="22" t="s">
        <v>658</v>
      </c>
      <c r="D74" s="152">
        <f>D73</f>
        <v>102094.8</v>
      </c>
      <c r="E74" s="152">
        <f t="shared" ref="E74:O74" si="157">D74+E73</f>
        <v>227154.1</v>
      </c>
      <c r="F74" s="152">
        <f t="shared" si="157"/>
        <v>364928</v>
      </c>
      <c r="G74" s="152">
        <f t="shared" si="157"/>
        <v>670063.4</v>
      </c>
      <c r="H74" s="152">
        <f t="shared" si="157"/>
        <v>1285912.8999999999</v>
      </c>
      <c r="I74" s="152">
        <f t="shared" si="157"/>
        <v>2233469.7000000002</v>
      </c>
      <c r="J74" s="152">
        <f t="shared" si="157"/>
        <v>3297264.2</v>
      </c>
      <c r="K74" s="152">
        <f t="shared" si="157"/>
        <v>4243738.5</v>
      </c>
      <c r="L74" s="152">
        <f t="shared" si="157"/>
        <v>4670703.2</v>
      </c>
      <c r="M74" s="152">
        <f t="shared" si="157"/>
        <v>4966737.4000000004</v>
      </c>
      <c r="N74" s="152">
        <f t="shared" si="157"/>
        <v>5134082.4000000004</v>
      </c>
      <c r="O74" s="152">
        <f t="shared" si="157"/>
        <v>5260445.6000000006</v>
      </c>
      <c r="P74" s="59"/>
      <c r="S74" s="28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59"/>
      <c r="AI74" s="28"/>
      <c r="AJ74" s="276"/>
      <c r="AK74" s="276"/>
      <c r="AL74" s="276"/>
      <c r="AM74" s="276"/>
      <c r="AN74" s="276"/>
      <c r="AO74" s="276"/>
      <c r="AP74" s="276"/>
      <c r="AQ74" s="276"/>
      <c r="AR74" s="276"/>
      <c r="AS74" s="276"/>
      <c r="AT74" s="276"/>
      <c r="AU74" s="276"/>
      <c r="AV74" s="131"/>
      <c r="AW74" s="28"/>
      <c r="AX74" s="276"/>
      <c r="AY74" s="276"/>
      <c r="AZ74" s="276"/>
      <c r="BA74" s="276"/>
      <c r="BB74" s="276"/>
      <c r="BC74" s="276"/>
      <c r="BD74" s="276"/>
      <c r="BE74" s="276"/>
      <c r="BF74" s="276"/>
      <c r="BG74" s="276"/>
      <c r="BH74" s="276"/>
      <c r="BI74" s="276"/>
      <c r="BJ74" s="131"/>
    </row>
    <row r="75" spans="1:62" s="22" customFormat="1">
      <c r="C75" s="22" t="s">
        <v>510</v>
      </c>
      <c r="D75" s="152">
        <f>D73</f>
        <v>102094.8</v>
      </c>
      <c r="E75" s="152">
        <f>E73</f>
        <v>125059.3</v>
      </c>
      <c r="F75" s="152">
        <f>F73</f>
        <v>137773.9</v>
      </c>
      <c r="G75" s="27">
        <f t="shared" ref="G75:M75" si="158">AVERAGE($D$73:$F$73)+((G73-AVERAGE($D$73:$F$73))*G2/G3)</f>
        <v>283153.52940778341</v>
      </c>
      <c r="H75" s="27">
        <f t="shared" si="158"/>
        <v>667741.21749999991</v>
      </c>
      <c r="I75" s="318">
        <f t="shared" si="158"/>
        <v>1034400.3018033741</v>
      </c>
      <c r="J75" s="318">
        <f t="shared" si="158"/>
        <v>1099004.845888078</v>
      </c>
      <c r="K75" s="318">
        <f t="shared" si="158"/>
        <v>965882.10313725506</v>
      </c>
      <c r="L75" s="318">
        <f t="shared" si="158"/>
        <v>695268.07478540775</v>
      </c>
      <c r="M75" s="318">
        <f t="shared" si="158"/>
        <v>281894.34594594594</v>
      </c>
      <c r="N75" s="152">
        <f>N73</f>
        <v>167345</v>
      </c>
      <c r="O75" s="152">
        <f>O73</f>
        <v>126363.2</v>
      </c>
      <c r="P75" s="59">
        <f>SUM(D75:O75)</f>
        <v>5685980.6184678441</v>
      </c>
      <c r="S75" s="28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59"/>
      <c r="AI75" s="28"/>
      <c r="AJ75" s="276"/>
      <c r="AK75" s="276"/>
      <c r="AL75" s="276"/>
      <c r="AM75" s="276"/>
      <c r="AN75" s="276"/>
      <c r="AO75" s="276"/>
      <c r="AP75" s="276"/>
      <c r="AQ75" s="276"/>
      <c r="AR75" s="276"/>
      <c r="AS75" s="276"/>
      <c r="AT75" s="276"/>
      <c r="AU75" s="276"/>
      <c r="AV75" s="131"/>
      <c r="AW75" s="28"/>
      <c r="AX75" s="276"/>
      <c r="AY75" s="276"/>
      <c r="AZ75" s="276"/>
      <c r="BA75" s="276"/>
      <c r="BB75" s="276"/>
      <c r="BC75" s="276"/>
      <c r="BD75" s="276"/>
      <c r="BE75" s="276"/>
      <c r="BF75" s="276"/>
      <c r="BG75" s="276"/>
      <c r="BH75" s="276"/>
      <c r="BI75" s="276"/>
      <c r="BJ75" s="131"/>
    </row>
    <row r="76" spans="1:62" s="22" customFormat="1">
      <c r="C76" s="22" t="s">
        <v>659</v>
      </c>
      <c r="D76" s="152">
        <f>D75</f>
        <v>102094.8</v>
      </c>
      <c r="E76" s="152">
        <f t="shared" ref="E76:O76" si="159">D76+E75</f>
        <v>227154.1</v>
      </c>
      <c r="F76" s="152">
        <f t="shared" si="159"/>
        <v>364928</v>
      </c>
      <c r="G76" s="152">
        <f t="shared" si="159"/>
        <v>648081.52940778341</v>
      </c>
      <c r="H76" s="152">
        <f t="shared" si="159"/>
        <v>1315822.7469077832</v>
      </c>
      <c r="I76" s="152">
        <f t="shared" si="159"/>
        <v>2350223.0487111574</v>
      </c>
      <c r="J76" s="152">
        <f t="shared" si="159"/>
        <v>3449227.8945992356</v>
      </c>
      <c r="K76" s="152">
        <f t="shared" si="159"/>
        <v>4415109.9977364903</v>
      </c>
      <c r="L76" s="152">
        <f t="shared" si="159"/>
        <v>5110378.072521898</v>
      </c>
      <c r="M76" s="152">
        <f t="shared" si="159"/>
        <v>5392272.4184678439</v>
      </c>
      <c r="N76" s="152">
        <f t="shared" si="159"/>
        <v>5559617.4184678439</v>
      </c>
      <c r="O76" s="152">
        <f t="shared" si="159"/>
        <v>5685980.6184678441</v>
      </c>
      <c r="P76" s="59"/>
      <c r="S76" s="28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59"/>
      <c r="AI76" s="28"/>
      <c r="AJ76" s="276"/>
      <c r="AK76" s="276"/>
      <c r="AL76" s="276"/>
      <c r="AM76" s="276"/>
      <c r="AN76" s="276"/>
      <c r="AO76" s="276"/>
      <c r="AP76" s="276"/>
      <c r="AQ76" s="276"/>
      <c r="AR76" s="276"/>
      <c r="AS76" s="276"/>
      <c r="AT76" s="276"/>
      <c r="AU76" s="276"/>
      <c r="AV76" s="131"/>
      <c r="AW76" s="28"/>
      <c r="AX76" s="276"/>
      <c r="AY76" s="276"/>
      <c r="AZ76" s="276"/>
      <c r="BA76" s="276"/>
      <c r="BB76" s="276"/>
      <c r="BC76" s="276"/>
      <c r="BD76" s="276"/>
      <c r="BE76" s="276"/>
      <c r="BF76" s="276"/>
      <c r="BG76" s="276"/>
      <c r="BH76" s="276"/>
      <c r="BI76" s="276"/>
      <c r="BJ76" s="131"/>
    </row>
    <row r="77" spans="1:62" s="22" customFormat="1">
      <c r="C77" s="22" t="s">
        <v>499</v>
      </c>
      <c r="D77" s="394">
        <v>76417.7</v>
      </c>
      <c r="E77" s="394">
        <v>83451.899999999994</v>
      </c>
      <c r="F77" s="394">
        <v>94307.1</v>
      </c>
      <c r="G77" s="394">
        <v>135290.6</v>
      </c>
      <c r="H77" s="394">
        <v>247923.3</v>
      </c>
      <c r="I77" s="419">
        <v>347285.8</v>
      </c>
      <c r="J77" s="419">
        <v>419846.6</v>
      </c>
      <c r="K77" s="419">
        <v>378857.9</v>
      </c>
      <c r="L77" s="419">
        <v>212657.9</v>
      </c>
      <c r="M77" s="419">
        <v>150276.6</v>
      </c>
      <c r="N77" s="419">
        <v>108819.7</v>
      </c>
      <c r="O77" s="419">
        <v>80636.2</v>
      </c>
      <c r="P77" s="59">
        <f>SUM(D77:O77)</f>
        <v>2335771.3000000003</v>
      </c>
      <c r="S77" s="28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59"/>
      <c r="AI77" s="28"/>
      <c r="AJ77" s="276"/>
      <c r="AK77" s="276"/>
      <c r="AL77" s="276"/>
      <c r="AM77" s="276"/>
      <c r="AN77" s="276"/>
      <c r="AO77" s="276"/>
      <c r="AP77" s="276"/>
      <c r="AQ77" s="276"/>
      <c r="AR77" s="276"/>
      <c r="AS77" s="276"/>
      <c r="AT77" s="276"/>
      <c r="AU77" s="276"/>
      <c r="AV77" s="131"/>
      <c r="AW77" s="28"/>
      <c r="AX77" s="276"/>
      <c r="AY77" s="276"/>
      <c r="AZ77" s="276"/>
      <c r="BA77" s="276"/>
      <c r="BB77" s="276"/>
      <c r="BC77" s="276"/>
      <c r="BD77" s="276"/>
      <c r="BE77" s="276"/>
      <c r="BF77" s="276"/>
      <c r="BG77" s="276"/>
      <c r="BH77" s="276"/>
      <c r="BI77" s="276"/>
      <c r="BJ77" s="131"/>
    </row>
    <row r="78" spans="1:62" s="22" customFormat="1">
      <c r="C78" s="22" t="s">
        <v>660</v>
      </c>
      <c r="D78" s="152">
        <f>D77</f>
        <v>76417.7</v>
      </c>
      <c r="E78" s="152">
        <f t="shared" ref="E78:O78" si="160">D78+E77</f>
        <v>159869.59999999998</v>
      </c>
      <c r="F78" s="152">
        <f t="shared" si="160"/>
        <v>254176.69999999998</v>
      </c>
      <c r="G78" s="152">
        <f t="shared" si="160"/>
        <v>389467.3</v>
      </c>
      <c r="H78" s="152">
        <f t="shared" si="160"/>
        <v>637390.6</v>
      </c>
      <c r="I78" s="152">
        <f t="shared" si="160"/>
        <v>984676.39999999991</v>
      </c>
      <c r="J78" s="152">
        <f t="shared" si="160"/>
        <v>1404523</v>
      </c>
      <c r="K78" s="152">
        <f t="shared" si="160"/>
        <v>1783380.9</v>
      </c>
      <c r="L78" s="152">
        <f t="shared" si="160"/>
        <v>1996038.7999999998</v>
      </c>
      <c r="M78" s="152">
        <f t="shared" si="160"/>
        <v>2146315.4</v>
      </c>
      <c r="N78" s="152">
        <f t="shared" si="160"/>
        <v>2255135.1</v>
      </c>
      <c r="O78" s="152">
        <f t="shared" si="160"/>
        <v>2335771.3000000003</v>
      </c>
      <c r="P78" s="59"/>
      <c r="S78" s="28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59"/>
      <c r="AI78" s="28"/>
      <c r="AJ78" s="276"/>
      <c r="AK78" s="276"/>
      <c r="AL78" s="276"/>
      <c r="AM78" s="276"/>
      <c r="AN78" s="276"/>
      <c r="AO78" s="276"/>
      <c r="AP78" s="276"/>
      <c r="AQ78" s="276"/>
      <c r="AR78" s="276"/>
      <c r="AS78" s="276"/>
      <c r="AT78" s="276"/>
      <c r="AU78" s="276"/>
      <c r="AV78" s="131"/>
      <c r="AW78" s="28"/>
      <c r="AX78" s="276"/>
      <c r="AY78" s="276"/>
      <c r="AZ78" s="276"/>
      <c r="BA78" s="276"/>
      <c r="BB78" s="276"/>
      <c r="BC78" s="276"/>
      <c r="BD78" s="276"/>
      <c r="BE78" s="276"/>
      <c r="BF78" s="276"/>
      <c r="BG78" s="276"/>
      <c r="BH78" s="276"/>
      <c r="BI78" s="276"/>
      <c r="BJ78" s="131"/>
    </row>
    <row r="79" spans="1:62" s="22" customFormat="1">
      <c r="C79" s="22" t="s">
        <v>511</v>
      </c>
      <c r="D79" s="152">
        <f>D77</f>
        <v>76417.7</v>
      </c>
      <c r="E79" s="152">
        <f>E77</f>
        <v>83451.899999999994</v>
      </c>
      <c r="F79" s="152">
        <f>F77</f>
        <v>94307.1</v>
      </c>
      <c r="G79" s="27">
        <f t="shared" ref="G79:M79" si="161">AVERAGE($D$77:$F$77)+((G77-AVERAGE($D$77:$F$77))*G2/G3)</f>
        <v>129233.06301184434</v>
      </c>
      <c r="H79" s="27">
        <f t="shared" si="161"/>
        <v>265059.06199999998</v>
      </c>
      <c r="I79" s="318">
        <f t="shared" si="161"/>
        <v>374893.57322571258</v>
      </c>
      <c r="J79" s="318">
        <f t="shared" si="161"/>
        <v>432370.8313187348</v>
      </c>
      <c r="K79" s="318">
        <f t="shared" si="161"/>
        <v>385778.66078431375</v>
      </c>
      <c r="L79" s="318">
        <f t="shared" si="161"/>
        <v>325079.12424892705</v>
      </c>
      <c r="M79" s="318">
        <f t="shared" si="161"/>
        <v>144961.65135135135</v>
      </c>
      <c r="N79" s="152">
        <f>N77</f>
        <v>108819.7</v>
      </c>
      <c r="O79" s="152">
        <f>O77</f>
        <v>80636.2</v>
      </c>
      <c r="P79" s="59">
        <f>SUM(D79:O79)</f>
        <v>2501008.5659408844</v>
      </c>
      <c r="S79" s="28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59"/>
      <c r="AI79" s="28"/>
      <c r="AJ79" s="276"/>
      <c r="AK79" s="276"/>
      <c r="AL79" s="276"/>
      <c r="AM79" s="276"/>
      <c r="AN79" s="276"/>
      <c r="AO79" s="276"/>
      <c r="AP79" s="276"/>
      <c r="AQ79" s="276"/>
      <c r="AR79" s="276"/>
      <c r="AS79" s="276"/>
      <c r="AT79" s="276"/>
      <c r="AU79" s="276"/>
      <c r="AV79" s="131"/>
      <c r="AW79" s="28"/>
      <c r="AX79" s="276"/>
      <c r="AY79" s="276"/>
      <c r="AZ79" s="276"/>
      <c r="BA79" s="276"/>
      <c r="BB79" s="276"/>
      <c r="BC79" s="276"/>
      <c r="BD79" s="276"/>
      <c r="BE79" s="276"/>
      <c r="BF79" s="276"/>
      <c r="BG79" s="276"/>
      <c r="BH79" s="276"/>
      <c r="BI79" s="276"/>
      <c r="BJ79" s="131"/>
    </row>
    <row r="80" spans="1:62" s="22" customFormat="1">
      <c r="C80" s="22" t="s">
        <v>661</v>
      </c>
      <c r="D80" s="152">
        <f>D79</f>
        <v>76417.7</v>
      </c>
      <c r="E80" s="152">
        <f t="shared" ref="E80:O80" si="162">D80+E79</f>
        <v>159869.59999999998</v>
      </c>
      <c r="F80" s="152">
        <f t="shared" si="162"/>
        <v>254176.69999999998</v>
      </c>
      <c r="G80" s="152">
        <f t="shared" si="162"/>
        <v>383409.7630118443</v>
      </c>
      <c r="H80" s="152">
        <f t="shared" si="162"/>
        <v>648468.82501184428</v>
      </c>
      <c r="I80" s="152">
        <f t="shared" si="162"/>
        <v>1023362.3982375569</v>
      </c>
      <c r="J80" s="152">
        <f t="shared" si="162"/>
        <v>1455733.2295562918</v>
      </c>
      <c r="K80" s="152">
        <f t="shared" si="162"/>
        <v>1841511.8903406055</v>
      </c>
      <c r="L80" s="152">
        <f t="shared" si="162"/>
        <v>2166591.0145895327</v>
      </c>
      <c r="M80" s="152">
        <f t="shared" si="162"/>
        <v>2311552.665940884</v>
      </c>
      <c r="N80" s="152">
        <f t="shared" si="162"/>
        <v>2420372.3659408842</v>
      </c>
      <c r="O80" s="152">
        <f t="shared" si="162"/>
        <v>2501008.5659408844</v>
      </c>
      <c r="P80" s="59"/>
      <c r="S80" s="28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59"/>
      <c r="AI80" s="28"/>
      <c r="AJ80" s="276"/>
      <c r="AK80" s="276"/>
      <c r="AL80" s="276"/>
      <c r="AM80" s="276"/>
      <c r="AN80" s="276"/>
      <c r="AO80" s="276"/>
      <c r="AP80" s="276"/>
      <c r="AQ80" s="276"/>
      <c r="AR80" s="276"/>
      <c r="AS80" s="276"/>
      <c r="AT80" s="276"/>
      <c r="AU80" s="276"/>
      <c r="AV80" s="131"/>
      <c r="AW80" s="28"/>
      <c r="AX80" s="276"/>
      <c r="AY80" s="276"/>
      <c r="AZ80" s="276"/>
      <c r="BA80" s="276"/>
      <c r="BB80" s="276"/>
      <c r="BC80" s="276"/>
      <c r="BD80" s="276"/>
      <c r="BE80" s="276"/>
      <c r="BF80" s="276"/>
      <c r="BG80" s="276"/>
      <c r="BH80" s="276"/>
      <c r="BI80" s="276"/>
      <c r="BJ80" s="131"/>
    </row>
    <row r="81" spans="3:62" s="22" customFormat="1">
      <c r="C81" s="22" t="s">
        <v>405</v>
      </c>
      <c r="D81" s="394">
        <v>55553.9</v>
      </c>
      <c r="E81" s="394">
        <v>64381.4</v>
      </c>
      <c r="F81" s="394">
        <v>73763.7</v>
      </c>
      <c r="G81" s="394">
        <v>105069.8</v>
      </c>
      <c r="H81" s="394">
        <v>152859.6</v>
      </c>
      <c r="I81" s="419">
        <v>207520.1</v>
      </c>
      <c r="J81" s="419">
        <v>226153.4</v>
      </c>
      <c r="K81" s="419">
        <v>199813.2</v>
      </c>
      <c r="L81" s="419">
        <v>145493.5</v>
      </c>
      <c r="M81" s="419">
        <v>110052.3</v>
      </c>
      <c r="N81" s="419">
        <v>89413</v>
      </c>
      <c r="O81" s="419">
        <v>69948.100000000006</v>
      </c>
      <c r="P81" s="59">
        <f>SUM(D81:O81)</f>
        <v>1500022.0000000002</v>
      </c>
      <c r="S81" s="28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59"/>
      <c r="AI81" s="28"/>
      <c r="AJ81" s="276"/>
      <c r="AK81" s="276"/>
      <c r="AL81" s="276"/>
      <c r="AM81" s="276"/>
      <c r="AN81" s="276"/>
      <c r="AO81" s="276"/>
      <c r="AP81" s="276"/>
      <c r="AQ81" s="276"/>
      <c r="AR81" s="276"/>
      <c r="AS81" s="276"/>
      <c r="AT81" s="276"/>
      <c r="AU81" s="276"/>
      <c r="AV81" s="131"/>
      <c r="AW81" s="28"/>
      <c r="AX81" s="276"/>
      <c r="AY81" s="276"/>
      <c r="AZ81" s="276"/>
      <c r="BA81" s="276"/>
      <c r="BB81" s="276"/>
      <c r="BC81" s="276"/>
      <c r="BD81" s="276"/>
      <c r="BE81" s="276"/>
      <c r="BF81" s="276"/>
      <c r="BG81" s="276"/>
      <c r="BH81" s="276"/>
      <c r="BI81" s="276"/>
      <c r="BJ81" s="131"/>
    </row>
    <row r="82" spans="3:62" s="22" customFormat="1">
      <c r="C82" s="22" t="s">
        <v>648</v>
      </c>
      <c r="D82" s="152">
        <f>D81</f>
        <v>55553.9</v>
      </c>
      <c r="E82" s="152">
        <f t="shared" ref="E82:O82" si="163">D82+E81</f>
        <v>119935.3</v>
      </c>
      <c r="F82" s="152">
        <f t="shared" si="163"/>
        <v>193699</v>
      </c>
      <c r="G82" s="152">
        <f t="shared" si="163"/>
        <v>298768.8</v>
      </c>
      <c r="H82" s="152">
        <f t="shared" si="163"/>
        <v>451628.4</v>
      </c>
      <c r="I82" s="152">
        <f t="shared" si="163"/>
        <v>659148.5</v>
      </c>
      <c r="J82" s="152">
        <f t="shared" si="163"/>
        <v>885301.9</v>
      </c>
      <c r="K82" s="152">
        <f t="shared" si="163"/>
        <v>1085115.1000000001</v>
      </c>
      <c r="L82" s="152">
        <f t="shared" si="163"/>
        <v>1230608.6000000001</v>
      </c>
      <c r="M82" s="152">
        <f t="shared" si="163"/>
        <v>1340660.9000000001</v>
      </c>
      <c r="N82" s="152">
        <f t="shared" si="163"/>
        <v>1430073.9000000001</v>
      </c>
      <c r="O82" s="152">
        <f t="shared" si="163"/>
        <v>1500022.0000000002</v>
      </c>
      <c r="P82" s="59"/>
      <c r="S82" s="28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59"/>
      <c r="AI82" s="28"/>
      <c r="AJ82" s="276"/>
      <c r="AK82" s="276"/>
      <c r="AL82" s="276"/>
      <c r="AM82" s="276"/>
      <c r="AN82" s="276"/>
      <c r="AO82" s="276"/>
      <c r="AP82" s="276"/>
      <c r="AQ82" s="276"/>
      <c r="AR82" s="276"/>
      <c r="AS82" s="276"/>
      <c r="AT82" s="276"/>
      <c r="AU82" s="276"/>
      <c r="AV82" s="131"/>
      <c r="AW82" s="28"/>
      <c r="AX82" s="276"/>
      <c r="AY82" s="276"/>
      <c r="AZ82" s="276"/>
      <c r="BA82" s="276"/>
      <c r="BB82" s="276"/>
      <c r="BC82" s="276"/>
      <c r="BD82" s="276"/>
      <c r="BE82" s="276"/>
      <c r="BF82" s="276"/>
      <c r="BG82" s="276"/>
      <c r="BH82" s="276"/>
      <c r="BI82" s="276"/>
      <c r="BJ82" s="131"/>
    </row>
    <row r="83" spans="3:62" s="22" customFormat="1">
      <c r="C83" s="22" t="s">
        <v>513</v>
      </c>
      <c r="D83" s="152">
        <f>D81</f>
        <v>55553.9</v>
      </c>
      <c r="E83" s="152">
        <f>E81</f>
        <v>64381.4</v>
      </c>
      <c r="F83" s="152">
        <f>F81</f>
        <v>73763.7</v>
      </c>
      <c r="G83" s="27">
        <f t="shared" ref="G83:M83" si="164">AVERAGE($D$81:$F$81)+((G81-AVERAGE($D$81:$F$81))*G2/G3)</f>
        <v>100217.60805414552</v>
      </c>
      <c r="H83" s="27">
        <f t="shared" si="164"/>
        <v>162130.39300000001</v>
      </c>
      <c r="I83" s="318">
        <f t="shared" si="164"/>
        <v>222551.4515561373</v>
      </c>
      <c r="J83" s="318">
        <f t="shared" si="164"/>
        <v>232192.27431630169</v>
      </c>
      <c r="K83" s="318">
        <f t="shared" si="164"/>
        <v>202995.4792156863</v>
      </c>
      <c r="L83" s="318">
        <f t="shared" si="164"/>
        <v>216608.68186695277</v>
      </c>
      <c r="M83" s="318">
        <f t="shared" si="164"/>
        <v>106364.24864864865</v>
      </c>
      <c r="N83" s="152">
        <f>F83</f>
        <v>73763.7</v>
      </c>
      <c r="O83" s="152">
        <f>G83</f>
        <v>100217.60805414552</v>
      </c>
      <c r="P83" s="59">
        <f>SUM(D83:O83)</f>
        <v>1610740.4447120174</v>
      </c>
      <c r="S83" s="28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59"/>
      <c r="AI83" s="28"/>
      <c r="AJ83" s="276"/>
      <c r="AK83" s="276"/>
      <c r="AL83" s="276"/>
      <c r="AM83" s="276"/>
      <c r="AN83" s="276"/>
      <c r="AO83" s="276"/>
      <c r="AP83" s="276"/>
      <c r="AQ83" s="276"/>
      <c r="AR83" s="276"/>
      <c r="AS83" s="276"/>
      <c r="AT83" s="276"/>
      <c r="AU83" s="276"/>
      <c r="AV83" s="131"/>
      <c r="AW83" s="28"/>
      <c r="AX83" s="276"/>
      <c r="AY83" s="276"/>
      <c r="AZ83" s="276"/>
      <c r="BA83" s="276"/>
      <c r="BB83" s="276"/>
      <c r="BC83" s="276"/>
      <c r="BD83" s="276"/>
      <c r="BE83" s="276"/>
      <c r="BF83" s="276"/>
      <c r="BG83" s="276"/>
      <c r="BH83" s="276"/>
      <c r="BI83" s="276"/>
      <c r="BJ83" s="131"/>
    </row>
    <row r="84" spans="3:62" s="22" customFormat="1">
      <c r="C84" s="22" t="s">
        <v>662</v>
      </c>
      <c r="D84" s="152">
        <f>D83</f>
        <v>55553.9</v>
      </c>
      <c r="E84" s="152">
        <f t="shared" ref="E84:O84" si="165">D84+E83</f>
        <v>119935.3</v>
      </c>
      <c r="F84" s="152">
        <f t="shared" si="165"/>
        <v>193699</v>
      </c>
      <c r="G84" s="152">
        <f t="shared" si="165"/>
        <v>293916.60805414553</v>
      </c>
      <c r="H84" s="152">
        <f t="shared" si="165"/>
        <v>456047.00105414551</v>
      </c>
      <c r="I84" s="152">
        <f t="shared" si="165"/>
        <v>678598.45261028281</v>
      </c>
      <c r="J84" s="152">
        <f t="shared" si="165"/>
        <v>910790.7269265845</v>
      </c>
      <c r="K84" s="152">
        <f t="shared" si="165"/>
        <v>1113786.2061422707</v>
      </c>
      <c r="L84" s="152">
        <f t="shared" si="165"/>
        <v>1330394.8880092234</v>
      </c>
      <c r="M84" s="152">
        <f t="shared" si="165"/>
        <v>1436759.136657872</v>
      </c>
      <c r="N84" s="152">
        <f t="shared" si="165"/>
        <v>1510522.836657872</v>
      </c>
      <c r="O84" s="152">
        <f t="shared" si="165"/>
        <v>1610740.4447120174</v>
      </c>
      <c r="P84" s="59"/>
      <c r="S84" s="28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59"/>
      <c r="AI84" s="28"/>
      <c r="AJ84" s="276"/>
      <c r="AK84" s="276"/>
      <c r="AL84" s="276"/>
      <c r="AM84" s="276"/>
      <c r="AN84" s="276"/>
      <c r="AO84" s="276"/>
      <c r="AP84" s="276"/>
      <c r="AQ84" s="276"/>
      <c r="AR84" s="276"/>
      <c r="AS84" s="276"/>
      <c r="AT84" s="276"/>
      <c r="AU84" s="276"/>
      <c r="AV84" s="131"/>
      <c r="AW84" s="28"/>
      <c r="AX84" s="276"/>
      <c r="AY84" s="276"/>
      <c r="AZ84" s="276"/>
      <c r="BA84" s="276"/>
      <c r="BB84" s="276"/>
      <c r="BC84" s="276"/>
      <c r="BD84" s="276"/>
      <c r="BE84" s="276"/>
      <c r="BF84" s="276"/>
      <c r="BG84" s="276"/>
      <c r="BH84" s="276"/>
      <c r="BI84" s="276"/>
      <c r="BJ84" s="131"/>
    </row>
    <row r="85" spans="3:62" s="22" customFormat="1" ht="21">
      <c r="C85" s="22" t="s">
        <v>500</v>
      </c>
      <c r="D85" s="394">
        <v>3329.9</v>
      </c>
      <c r="E85" s="394">
        <v>3450.7</v>
      </c>
      <c r="F85" s="394">
        <v>4935.8</v>
      </c>
      <c r="G85" s="394">
        <v>9878.7999999999993</v>
      </c>
      <c r="H85" s="394">
        <v>25009.200000000001</v>
      </c>
      <c r="I85" s="419">
        <v>36121.800000000003</v>
      </c>
      <c r="J85" s="419">
        <v>48998.400000000001</v>
      </c>
      <c r="K85" s="419">
        <v>40194.5</v>
      </c>
      <c r="L85" s="483">
        <v>20369.5</v>
      </c>
      <c r="M85" s="419">
        <v>9292.4</v>
      </c>
      <c r="N85" s="419">
        <v>6576.2</v>
      </c>
      <c r="O85" s="419">
        <v>4776.6000000000004</v>
      </c>
      <c r="P85" s="59">
        <f>SUM(D85:O85)</f>
        <v>212933.80000000002</v>
      </c>
      <c r="S85" s="28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59"/>
      <c r="AI85" s="28"/>
      <c r="AJ85" s="276"/>
      <c r="AK85" s="276"/>
      <c r="AL85" s="276"/>
      <c r="AM85" s="276"/>
      <c r="AN85" s="276"/>
      <c r="AO85" s="276"/>
      <c r="AP85" s="276"/>
      <c r="AQ85" s="276"/>
      <c r="AR85" s="276"/>
      <c r="AS85" s="276"/>
      <c r="AT85" s="276"/>
      <c r="AU85" s="276"/>
      <c r="AV85" s="131"/>
      <c r="AW85" s="28"/>
      <c r="AX85" s="276"/>
      <c r="AY85" s="276"/>
      <c r="AZ85" s="276"/>
      <c r="BA85" s="276"/>
      <c r="BB85" s="276"/>
      <c r="BC85" s="276"/>
      <c r="BD85" s="276"/>
      <c r="BE85" s="276"/>
      <c r="BF85" s="276"/>
      <c r="BG85" s="276"/>
      <c r="BH85" s="276"/>
      <c r="BI85" s="276"/>
      <c r="BJ85" s="131"/>
    </row>
    <row r="86" spans="3:62" s="22" customFormat="1">
      <c r="C86" s="22" t="s">
        <v>649</v>
      </c>
      <c r="D86" s="152">
        <f>D85</f>
        <v>3329.9</v>
      </c>
      <c r="E86" s="152">
        <f t="shared" ref="E86:O86" si="166">D86+E85</f>
        <v>6780.6</v>
      </c>
      <c r="F86" s="152">
        <f t="shared" si="166"/>
        <v>11716.400000000001</v>
      </c>
      <c r="G86" s="152">
        <f t="shared" si="166"/>
        <v>21595.200000000001</v>
      </c>
      <c r="H86" s="152">
        <f t="shared" si="166"/>
        <v>46604.4</v>
      </c>
      <c r="I86" s="152">
        <f t="shared" si="166"/>
        <v>82726.200000000012</v>
      </c>
      <c r="J86" s="152">
        <f t="shared" si="166"/>
        <v>131724.6</v>
      </c>
      <c r="K86" s="152">
        <f t="shared" si="166"/>
        <v>171919.1</v>
      </c>
      <c r="L86" s="152">
        <f t="shared" si="166"/>
        <v>192288.6</v>
      </c>
      <c r="M86" s="152">
        <f t="shared" si="166"/>
        <v>201581</v>
      </c>
      <c r="N86" s="152">
        <f t="shared" si="166"/>
        <v>208157.2</v>
      </c>
      <c r="O86" s="152">
        <f t="shared" si="166"/>
        <v>212933.80000000002</v>
      </c>
      <c r="P86" s="59"/>
      <c r="S86" s="28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59"/>
      <c r="AI86" s="28"/>
      <c r="AJ86" s="276"/>
      <c r="AK86" s="276"/>
      <c r="AL86" s="276"/>
      <c r="AM86" s="276"/>
      <c r="AN86" s="276"/>
      <c r="AO86" s="276"/>
      <c r="AP86" s="276"/>
      <c r="AQ86" s="276"/>
      <c r="AR86" s="276"/>
      <c r="AS86" s="276"/>
      <c r="AT86" s="276"/>
      <c r="AU86" s="276"/>
      <c r="AV86" s="131"/>
      <c r="AW86" s="28"/>
      <c r="AX86" s="276"/>
      <c r="AY86" s="276"/>
      <c r="AZ86" s="276"/>
      <c r="BA86" s="276"/>
      <c r="BB86" s="276"/>
      <c r="BC86" s="276"/>
      <c r="BD86" s="276"/>
      <c r="BE86" s="276"/>
      <c r="BF86" s="276"/>
      <c r="BG86" s="276"/>
      <c r="BH86" s="276"/>
      <c r="BI86" s="276"/>
      <c r="BJ86" s="131"/>
    </row>
    <row r="87" spans="3:62" s="22" customFormat="1">
      <c r="C87" s="22" t="s">
        <v>512</v>
      </c>
      <c r="D87" s="152">
        <f>D85</f>
        <v>3329.9</v>
      </c>
      <c r="E87" s="152">
        <f>E85</f>
        <v>3450.7</v>
      </c>
      <c r="F87" s="152">
        <f>F85</f>
        <v>4935.8</v>
      </c>
      <c r="G87" s="27">
        <f t="shared" ref="G87:M87" si="167">AVERAGE($D$85:$F$85)+((G85-AVERAGE($D$85:$F$85))*G2/G3)</f>
        <v>9163.2128595600661</v>
      </c>
      <c r="H87" s="27">
        <f t="shared" si="167"/>
        <v>27225.092000000001</v>
      </c>
      <c r="I87" s="318">
        <f t="shared" si="167"/>
        <v>39509.294037230953</v>
      </c>
      <c r="J87" s="318">
        <f t="shared" si="167"/>
        <v>50683.624953771294</v>
      </c>
      <c r="K87" s="318">
        <f t="shared" si="167"/>
        <v>41048.359607843136</v>
      </c>
      <c r="L87" s="318">
        <f t="shared" si="167"/>
        <v>34837.357618025751</v>
      </c>
      <c r="M87" s="318">
        <f t="shared" si="167"/>
        <v>8855.6216216216217</v>
      </c>
      <c r="N87" s="152">
        <f>F87</f>
        <v>4935.8</v>
      </c>
      <c r="O87" s="152">
        <f>G87</f>
        <v>9163.2128595600661</v>
      </c>
      <c r="P87" s="59">
        <f>SUM(D87:O87)</f>
        <v>237137.9755576129</v>
      </c>
      <c r="S87" s="28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59"/>
      <c r="AI87" s="28"/>
      <c r="AJ87" s="276"/>
      <c r="AK87" s="276"/>
      <c r="AL87" s="276"/>
      <c r="AM87" s="276"/>
      <c r="AN87" s="276"/>
      <c r="AO87" s="276"/>
      <c r="AP87" s="276"/>
      <c r="AQ87" s="276"/>
      <c r="AR87" s="276"/>
      <c r="AS87" s="276"/>
      <c r="AT87" s="276"/>
      <c r="AU87" s="276"/>
      <c r="AV87" s="131"/>
      <c r="AW87" s="28"/>
      <c r="AX87" s="276"/>
      <c r="AY87" s="276"/>
      <c r="AZ87" s="276"/>
      <c r="BA87" s="276"/>
      <c r="BB87" s="276"/>
      <c r="BC87" s="276"/>
      <c r="BD87" s="276"/>
      <c r="BE87" s="276"/>
      <c r="BF87" s="276"/>
      <c r="BG87" s="276"/>
      <c r="BH87" s="276"/>
      <c r="BI87" s="276"/>
      <c r="BJ87" s="131"/>
    </row>
    <row r="88" spans="3:62" s="22" customFormat="1">
      <c r="C88" s="22" t="s">
        <v>663</v>
      </c>
      <c r="D88" s="152">
        <f>D87</f>
        <v>3329.9</v>
      </c>
      <c r="E88" s="152">
        <f t="shared" ref="E88:O88" si="168">D88+E87</f>
        <v>6780.6</v>
      </c>
      <c r="F88" s="152">
        <f t="shared" si="168"/>
        <v>11716.400000000001</v>
      </c>
      <c r="G88" s="152">
        <f t="shared" si="168"/>
        <v>20879.612859560068</v>
      </c>
      <c r="H88" s="152">
        <f t="shared" si="168"/>
        <v>48104.704859560065</v>
      </c>
      <c r="I88" s="152">
        <f t="shared" si="168"/>
        <v>87613.998896791018</v>
      </c>
      <c r="J88" s="152">
        <f t="shared" si="168"/>
        <v>138297.62385056232</v>
      </c>
      <c r="K88" s="152">
        <f t="shared" si="168"/>
        <v>179345.98345840545</v>
      </c>
      <c r="L88" s="152">
        <f t="shared" si="168"/>
        <v>214183.34107643121</v>
      </c>
      <c r="M88" s="152">
        <f t="shared" si="168"/>
        <v>223038.96269805284</v>
      </c>
      <c r="N88" s="152">
        <f t="shared" si="168"/>
        <v>227974.76269805283</v>
      </c>
      <c r="O88" s="152">
        <f t="shared" si="168"/>
        <v>237137.9755576129</v>
      </c>
      <c r="P88" s="59"/>
      <c r="S88" s="28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59"/>
      <c r="AI88" s="28"/>
      <c r="AJ88" s="276"/>
      <c r="AK88" s="276"/>
      <c r="AL88" s="276"/>
      <c r="AM88" s="276"/>
      <c r="AN88" s="276"/>
      <c r="AO88" s="276"/>
      <c r="AP88" s="276"/>
      <c r="AQ88" s="276"/>
      <c r="AR88" s="276"/>
      <c r="AS88" s="276"/>
      <c r="AT88" s="276"/>
      <c r="AU88" s="276"/>
      <c r="AV88" s="131"/>
      <c r="AW88" s="28"/>
      <c r="AX88" s="276"/>
      <c r="AY88" s="276"/>
      <c r="AZ88" s="276"/>
      <c r="BA88" s="276"/>
      <c r="BB88" s="276"/>
      <c r="BC88" s="276"/>
      <c r="BD88" s="276"/>
      <c r="BE88" s="276"/>
      <c r="BF88" s="276"/>
      <c r="BG88" s="276"/>
      <c r="BH88" s="276"/>
      <c r="BI88" s="276"/>
      <c r="BJ88" s="131"/>
    </row>
    <row r="89" spans="3:62" s="22" customFormat="1">
      <c r="C89" s="27" t="s">
        <v>406</v>
      </c>
      <c r="D89" s="152">
        <f t="shared" ref="D89:I89" si="169">SUM(D73,D77,D81,D85)</f>
        <v>237396.3</v>
      </c>
      <c r="E89" s="152">
        <f t="shared" si="169"/>
        <v>276343.30000000005</v>
      </c>
      <c r="F89" s="152">
        <f t="shared" si="169"/>
        <v>310780.5</v>
      </c>
      <c r="G89" s="152">
        <f t="shared" si="169"/>
        <v>555374.60000000009</v>
      </c>
      <c r="H89" s="152">
        <f t="shared" si="169"/>
        <v>1041641.6</v>
      </c>
      <c r="I89" s="152">
        <f t="shared" si="169"/>
        <v>1538484.5000000002</v>
      </c>
      <c r="J89" s="152">
        <f t="shared" ref="J89:O89" si="170">SUM(J73,J77,J81,J85)</f>
        <v>1758792.9</v>
      </c>
      <c r="K89" s="152">
        <f t="shared" si="170"/>
        <v>1565339.9000000001</v>
      </c>
      <c r="L89" s="152">
        <f t="shared" si="170"/>
        <v>805485.6</v>
      </c>
      <c r="M89" s="152">
        <f t="shared" si="170"/>
        <v>565655.50000000012</v>
      </c>
      <c r="N89" s="152">
        <f t="shared" si="170"/>
        <v>372153.9</v>
      </c>
      <c r="O89" s="152">
        <f t="shared" si="170"/>
        <v>281724.09999999998</v>
      </c>
      <c r="P89" s="59">
        <f>SUM(D89:O89)</f>
        <v>9309172.7000000011</v>
      </c>
      <c r="S89" s="28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59"/>
      <c r="AI89" s="28"/>
      <c r="AJ89" s="276"/>
      <c r="AK89" s="276"/>
      <c r="AL89" s="276"/>
      <c r="AM89" s="276"/>
      <c r="AN89" s="276"/>
      <c r="AO89" s="276"/>
      <c r="AP89" s="276"/>
      <c r="AQ89" s="276"/>
      <c r="AR89" s="276"/>
      <c r="AS89" s="276"/>
      <c r="AT89" s="276"/>
      <c r="AU89" s="276"/>
      <c r="AV89" s="131"/>
      <c r="AW89" s="28"/>
      <c r="AX89" s="276"/>
      <c r="AY89" s="276"/>
      <c r="AZ89" s="276"/>
      <c r="BA89" s="276"/>
      <c r="BB89" s="276"/>
      <c r="BC89" s="276"/>
      <c r="BD89" s="276"/>
      <c r="BE89" s="276"/>
      <c r="BF89" s="276"/>
      <c r="BG89" s="276"/>
      <c r="BH89" s="276"/>
      <c r="BI89" s="276"/>
      <c r="BJ89" s="131"/>
    </row>
    <row r="90" spans="3:62" s="22" customFormat="1">
      <c r="C90" s="27" t="s">
        <v>664</v>
      </c>
      <c r="D90" s="152">
        <f>D89</f>
        <v>237396.3</v>
      </c>
      <c r="E90" s="152">
        <f t="shared" ref="E90:O90" si="171">D90+E89</f>
        <v>513739.60000000003</v>
      </c>
      <c r="F90" s="152">
        <f t="shared" si="171"/>
        <v>824520.10000000009</v>
      </c>
      <c r="G90" s="152">
        <f t="shared" si="171"/>
        <v>1379894.7000000002</v>
      </c>
      <c r="H90" s="152">
        <f t="shared" si="171"/>
        <v>2421536.3000000003</v>
      </c>
      <c r="I90" s="152">
        <f t="shared" si="171"/>
        <v>3960020.8000000007</v>
      </c>
      <c r="J90" s="152">
        <f t="shared" si="171"/>
        <v>5718813.7000000011</v>
      </c>
      <c r="K90" s="152">
        <f t="shared" si="171"/>
        <v>7284153.6000000015</v>
      </c>
      <c r="L90" s="152">
        <f t="shared" si="171"/>
        <v>8089639.2000000011</v>
      </c>
      <c r="M90" s="152">
        <f t="shared" si="171"/>
        <v>8655294.7000000011</v>
      </c>
      <c r="N90" s="152">
        <f t="shared" si="171"/>
        <v>9027448.6000000015</v>
      </c>
      <c r="O90" s="152">
        <f t="shared" si="171"/>
        <v>9309172.7000000011</v>
      </c>
      <c r="P90" s="59"/>
      <c r="S90" s="28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59"/>
      <c r="AI90" s="28"/>
      <c r="AJ90" s="276"/>
      <c r="AK90" s="276"/>
      <c r="AL90" s="276"/>
      <c r="AM90" s="276"/>
      <c r="AN90" s="276"/>
      <c r="AO90" s="276"/>
      <c r="AP90" s="276"/>
      <c r="AQ90" s="276"/>
      <c r="AR90" s="276"/>
      <c r="AS90" s="276"/>
      <c r="AT90" s="276"/>
      <c r="AU90" s="276"/>
      <c r="AV90" s="131"/>
      <c r="AW90" s="28"/>
      <c r="AX90" s="276"/>
      <c r="AY90" s="276"/>
      <c r="AZ90" s="276"/>
      <c r="BA90" s="276"/>
      <c r="BB90" s="276"/>
      <c r="BC90" s="276"/>
      <c r="BD90" s="276"/>
      <c r="BE90" s="276"/>
      <c r="BF90" s="276"/>
      <c r="BG90" s="276"/>
      <c r="BH90" s="276"/>
      <c r="BI90" s="276"/>
      <c r="BJ90" s="131"/>
    </row>
    <row r="91" spans="3:62" s="22" customFormat="1">
      <c r="C91" s="27" t="s">
        <v>416</v>
      </c>
      <c r="D91" s="152">
        <f t="shared" ref="D91:I91" si="172">SUM(D75,D79,D83,D87)</f>
        <v>237396.3</v>
      </c>
      <c r="E91" s="152">
        <f t="shared" si="172"/>
        <v>276343.30000000005</v>
      </c>
      <c r="F91" s="152">
        <f t="shared" si="172"/>
        <v>310780.5</v>
      </c>
      <c r="G91" s="152">
        <f t="shared" si="172"/>
        <v>521767.41333333333</v>
      </c>
      <c r="H91" s="152">
        <f t="shared" si="172"/>
        <v>1122155.7644999998</v>
      </c>
      <c r="I91" s="152">
        <f t="shared" si="172"/>
        <v>1671354.6206224549</v>
      </c>
      <c r="J91" s="152">
        <f t="shared" ref="J91:O91" si="173">SUM(J75,J79,J83,J87)</f>
        <v>1814251.5764768857</v>
      </c>
      <c r="K91" s="152">
        <f t="shared" si="173"/>
        <v>1595704.6027450983</v>
      </c>
      <c r="L91" s="152">
        <f t="shared" si="173"/>
        <v>1271793.2385193133</v>
      </c>
      <c r="M91" s="152">
        <f t="shared" si="173"/>
        <v>542075.86756756762</v>
      </c>
      <c r="N91" s="152">
        <f t="shared" si="173"/>
        <v>354864.2</v>
      </c>
      <c r="O91" s="152">
        <f t="shared" si="173"/>
        <v>316380.22091370553</v>
      </c>
      <c r="P91" s="59">
        <f>SUM(D91:O91)</f>
        <v>10034867.604678359</v>
      </c>
      <c r="S91" s="28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59"/>
      <c r="AI91" s="28"/>
      <c r="AJ91" s="276"/>
      <c r="AK91" s="276"/>
      <c r="AL91" s="276"/>
      <c r="AM91" s="276"/>
      <c r="AN91" s="276"/>
      <c r="AO91" s="276"/>
      <c r="AP91" s="276"/>
      <c r="AQ91" s="276"/>
      <c r="AR91" s="276"/>
      <c r="AS91" s="276"/>
      <c r="AT91" s="276"/>
      <c r="AU91" s="276"/>
      <c r="AV91" s="131"/>
      <c r="AW91" s="28"/>
      <c r="AX91" s="276"/>
      <c r="AY91" s="276"/>
      <c r="AZ91" s="276"/>
      <c r="BA91" s="276"/>
      <c r="BB91" s="276"/>
      <c r="BC91" s="276"/>
      <c r="BD91" s="276"/>
      <c r="BE91" s="276"/>
      <c r="BF91" s="276"/>
      <c r="BG91" s="276"/>
      <c r="BH91" s="276"/>
      <c r="BI91" s="276"/>
      <c r="BJ91" s="131"/>
    </row>
    <row r="92" spans="3:62" s="22" customFormat="1">
      <c r="C92" s="27" t="s">
        <v>665</v>
      </c>
      <c r="D92" s="152">
        <f>D91</f>
        <v>237396.3</v>
      </c>
      <c r="E92" s="152">
        <f t="shared" ref="E92:O92" si="174">D92+E91</f>
        <v>513739.60000000003</v>
      </c>
      <c r="F92" s="152">
        <f t="shared" si="174"/>
        <v>824520.10000000009</v>
      </c>
      <c r="G92" s="152">
        <f t="shared" si="174"/>
        <v>1346287.5133333334</v>
      </c>
      <c r="H92" s="152">
        <f t="shared" si="174"/>
        <v>2468443.2778333332</v>
      </c>
      <c r="I92" s="152">
        <f t="shared" si="174"/>
        <v>4139797.8984557884</v>
      </c>
      <c r="J92" s="152">
        <f t="shared" si="174"/>
        <v>5954049.4749326743</v>
      </c>
      <c r="K92" s="152">
        <f t="shared" si="174"/>
        <v>7549754.0776777724</v>
      </c>
      <c r="L92" s="152">
        <f t="shared" si="174"/>
        <v>8821547.3161970861</v>
      </c>
      <c r="M92" s="152">
        <f t="shared" si="174"/>
        <v>9363623.1837646533</v>
      </c>
      <c r="N92" s="152">
        <f t="shared" si="174"/>
        <v>9718487.3837646525</v>
      </c>
      <c r="O92" s="152">
        <f t="shared" si="174"/>
        <v>10034867.604678359</v>
      </c>
      <c r="P92" s="59"/>
      <c r="S92" s="28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59"/>
      <c r="AI92" s="28"/>
      <c r="AJ92" s="276"/>
      <c r="AK92" s="276"/>
      <c r="AL92" s="276"/>
      <c r="AM92" s="276"/>
      <c r="AN92" s="276"/>
      <c r="AO92" s="276"/>
      <c r="AP92" s="276"/>
      <c r="AQ92" s="276"/>
      <c r="AR92" s="276"/>
      <c r="AS92" s="276"/>
      <c r="AT92" s="276"/>
      <c r="AU92" s="276"/>
      <c r="AV92" s="131"/>
      <c r="AW92" s="28"/>
      <c r="AX92" s="276"/>
      <c r="AY92" s="276"/>
      <c r="AZ92" s="276"/>
      <c r="BA92" s="276"/>
      <c r="BB92" s="276"/>
      <c r="BC92" s="276"/>
      <c r="BD92" s="276"/>
      <c r="BE92" s="276"/>
      <c r="BF92" s="276"/>
      <c r="BG92" s="276"/>
      <c r="BH92" s="276"/>
      <c r="BI92" s="276"/>
      <c r="BJ92" s="131"/>
    </row>
    <row r="93" spans="3:62" s="22" customFormat="1">
      <c r="C93" s="22" t="s">
        <v>562</v>
      </c>
      <c r="D93" s="419">
        <v>13733.1</v>
      </c>
      <c r="E93" s="419">
        <v>1893.8</v>
      </c>
      <c r="F93" s="394">
        <v>1744.5</v>
      </c>
      <c r="G93" s="394">
        <v>7648.3</v>
      </c>
      <c r="H93" s="394">
        <v>15898.7</v>
      </c>
      <c r="I93" s="419">
        <v>18619.7</v>
      </c>
      <c r="J93" s="419">
        <v>21291.9</v>
      </c>
      <c r="K93" s="419">
        <v>19317.400000000001</v>
      </c>
      <c r="L93" s="419">
        <v>13507</v>
      </c>
      <c r="M93" s="419">
        <v>9796.7999999999993</v>
      </c>
      <c r="N93" s="419">
        <v>5959.9</v>
      </c>
      <c r="O93" s="419">
        <v>2504.9</v>
      </c>
      <c r="P93" s="59">
        <f>SUM(D93:O93)</f>
        <v>131916</v>
      </c>
      <c r="S93" s="28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59"/>
      <c r="AI93" s="28"/>
      <c r="AJ93" s="276"/>
      <c r="AK93" s="276"/>
      <c r="AL93" s="276"/>
      <c r="AM93" s="276"/>
      <c r="AN93" s="276"/>
      <c r="AO93" s="276"/>
      <c r="AP93" s="276"/>
      <c r="AQ93" s="276"/>
      <c r="AR93" s="276"/>
      <c r="AS93" s="276"/>
      <c r="AT93" s="276"/>
      <c r="AU93" s="276"/>
      <c r="AV93" s="131"/>
      <c r="AW93" s="28"/>
      <c r="AX93" s="276"/>
      <c r="AY93" s="276"/>
      <c r="AZ93" s="276"/>
      <c r="BA93" s="276"/>
      <c r="BB93" s="276"/>
      <c r="BC93" s="276"/>
      <c r="BD93" s="276"/>
      <c r="BE93" s="276"/>
      <c r="BF93" s="276"/>
      <c r="BG93" s="276"/>
      <c r="BH93" s="276"/>
      <c r="BI93" s="276"/>
      <c r="BJ93" s="131"/>
    </row>
    <row r="94" spans="3:62" s="22" customFormat="1">
      <c r="C94" s="22" t="s">
        <v>666</v>
      </c>
      <c r="D94" s="152">
        <f>D93</f>
        <v>13733.1</v>
      </c>
      <c r="E94" s="152">
        <f t="shared" ref="E94:O94" si="175">D94+E93</f>
        <v>15626.9</v>
      </c>
      <c r="F94" s="152">
        <f t="shared" si="175"/>
        <v>17371.400000000001</v>
      </c>
      <c r="G94" s="152">
        <f t="shared" si="175"/>
        <v>25019.7</v>
      </c>
      <c r="H94" s="152">
        <f t="shared" si="175"/>
        <v>40918.400000000001</v>
      </c>
      <c r="I94" s="152">
        <f t="shared" si="175"/>
        <v>59538.100000000006</v>
      </c>
      <c r="J94" s="152">
        <f t="shared" si="175"/>
        <v>80830</v>
      </c>
      <c r="K94" s="152">
        <f t="shared" si="175"/>
        <v>100147.4</v>
      </c>
      <c r="L94" s="152">
        <f t="shared" si="175"/>
        <v>113654.39999999999</v>
      </c>
      <c r="M94" s="152">
        <f t="shared" si="175"/>
        <v>123451.2</v>
      </c>
      <c r="N94" s="152">
        <f t="shared" si="175"/>
        <v>129411.09999999999</v>
      </c>
      <c r="O94" s="152">
        <f t="shared" si="175"/>
        <v>131916</v>
      </c>
      <c r="P94" s="59"/>
      <c r="S94" s="28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59"/>
      <c r="AI94" s="28"/>
      <c r="AJ94" s="276"/>
      <c r="AK94" s="276"/>
      <c r="AL94" s="276"/>
      <c r="AM94" s="276"/>
      <c r="AN94" s="276"/>
      <c r="AO94" s="276"/>
      <c r="AP94" s="276"/>
      <c r="AQ94" s="276"/>
      <c r="AR94" s="276"/>
      <c r="AS94" s="276"/>
      <c r="AT94" s="276"/>
      <c r="AU94" s="276"/>
      <c r="AV94" s="131"/>
      <c r="AW94" s="28"/>
      <c r="AX94" s="276"/>
      <c r="AY94" s="276"/>
      <c r="AZ94" s="276"/>
      <c r="BA94" s="276"/>
      <c r="BB94" s="276"/>
      <c r="BC94" s="276"/>
      <c r="BD94" s="276"/>
      <c r="BE94" s="276"/>
      <c r="BF94" s="276"/>
      <c r="BG94" s="276"/>
      <c r="BH94" s="276"/>
      <c r="BI94" s="276"/>
      <c r="BJ94" s="131"/>
    </row>
    <row r="95" spans="3:62" s="22" customFormat="1">
      <c r="C95" s="22" t="s">
        <v>563</v>
      </c>
      <c r="D95" s="152">
        <f>D93</f>
        <v>13733.1</v>
      </c>
      <c r="E95" s="152">
        <f>E93</f>
        <v>1893.8</v>
      </c>
      <c r="F95" s="152">
        <f>F93</f>
        <v>1744.5</v>
      </c>
      <c r="G95" s="27">
        <f t="shared" ref="G95:M95" si="176">AVERAGE($D$93:$F$93)+((G93-AVERAGE($D$93:$F$93))*G2/G3)</f>
        <v>7425.7372250423014</v>
      </c>
      <c r="H95" s="27">
        <f t="shared" si="176"/>
        <v>16960.0645</v>
      </c>
      <c r="I95" s="318">
        <f t="shared" si="176"/>
        <v>19968.672614892381</v>
      </c>
      <c r="J95" s="318">
        <f t="shared" si="176"/>
        <v>21871.223639902677</v>
      </c>
      <c r="K95" s="318">
        <f t="shared" si="176"/>
        <v>19635.680784313729</v>
      </c>
      <c r="L95" s="318">
        <f t="shared" si="176"/>
        <v>20287.94506437768</v>
      </c>
      <c r="M95" s="318">
        <f t="shared" si="176"/>
        <v>9471.9621621621627</v>
      </c>
      <c r="N95" s="152">
        <f>N93</f>
        <v>5959.9</v>
      </c>
      <c r="O95" s="152">
        <f>O93</f>
        <v>2504.9</v>
      </c>
      <c r="P95" s="59">
        <f>SUM(D95:O95)</f>
        <v>141457.48599069094</v>
      </c>
      <c r="S95" s="28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59"/>
      <c r="AI95" s="28"/>
      <c r="AJ95" s="276"/>
      <c r="AK95" s="276"/>
      <c r="AL95" s="276"/>
      <c r="AM95" s="276"/>
      <c r="AN95" s="276"/>
      <c r="AO95" s="276"/>
      <c r="AP95" s="276"/>
      <c r="AQ95" s="276"/>
      <c r="AR95" s="276"/>
      <c r="AS95" s="276"/>
      <c r="AT95" s="276"/>
      <c r="AU95" s="276"/>
      <c r="AV95" s="131"/>
      <c r="AW95" s="28"/>
      <c r="AX95" s="276"/>
      <c r="AY95" s="276"/>
      <c r="AZ95" s="276"/>
      <c r="BA95" s="276"/>
      <c r="BB95" s="276"/>
      <c r="BC95" s="276"/>
      <c r="BD95" s="276"/>
      <c r="BE95" s="276"/>
      <c r="BF95" s="276"/>
      <c r="BG95" s="276"/>
      <c r="BH95" s="276"/>
      <c r="BI95" s="276"/>
      <c r="BJ95" s="131"/>
    </row>
    <row r="96" spans="3:62" s="22" customFormat="1">
      <c r="C96" s="22" t="s">
        <v>667</v>
      </c>
      <c r="D96" s="152">
        <f>D95</f>
        <v>13733.1</v>
      </c>
      <c r="E96" s="152">
        <f t="shared" ref="E96:O96" si="177">D96+E95</f>
        <v>15626.9</v>
      </c>
      <c r="F96" s="152">
        <f t="shared" si="177"/>
        <v>17371.400000000001</v>
      </c>
      <c r="G96" s="152">
        <f t="shared" si="177"/>
        <v>24797.137225042301</v>
      </c>
      <c r="H96" s="152">
        <f t="shared" si="177"/>
        <v>41757.201725042301</v>
      </c>
      <c r="I96" s="152">
        <f t="shared" si="177"/>
        <v>61725.874339934686</v>
      </c>
      <c r="J96" s="152">
        <f t="shared" si="177"/>
        <v>83597.097979837359</v>
      </c>
      <c r="K96" s="152">
        <f t="shared" si="177"/>
        <v>103232.77876415109</v>
      </c>
      <c r="L96" s="152">
        <f t="shared" si="177"/>
        <v>123520.72382852877</v>
      </c>
      <c r="M96" s="152">
        <f t="shared" si="177"/>
        <v>132992.68599069095</v>
      </c>
      <c r="N96" s="152">
        <f t="shared" si="177"/>
        <v>138952.58599069095</v>
      </c>
      <c r="O96" s="152">
        <f t="shared" si="177"/>
        <v>141457.48599069094</v>
      </c>
      <c r="P96" s="59"/>
      <c r="S96" s="28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59"/>
      <c r="AI96" s="28"/>
      <c r="AJ96" s="276"/>
      <c r="AK96" s="276"/>
      <c r="AL96" s="276"/>
      <c r="AM96" s="276"/>
      <c r="AN96" s="276"/>
      <c r="AO96" s="276"/>
      <c r="AP96" s="276"/>
      <c r="AQ96" s="276"/>
      <c r="AR96" s="276"/>
      <c r="AS96" s="276"/>
      <c r="AT96" s="276"/>
      <c r="AU96" s="276"/>
      <c r="AV96" s="131"/>
      <c r="AW96" s="28"/>
      <c r="AX96" s="276"/>
      <c r="AY96" s="276"/>
      <c r="AZ96" s="276"/>
      <c r="BA96" s="276"/>
      <c r="BB96" s="276"/>
      <c r="BC96" s="276"/>
      <c r="BD96" s="276"/>
      <c r="BE96" s="276"/>
      <c r="BF96" s="276"/>
      <c r="BG96" s="276"/>
      <c r="BH96" s="276"/>
      <c r="BI96" s="276"/>
      <c r="BJ96" s="131"/>
    </row>
    <row r="97" spans="3:62" s="22" customFormat="1">
      <c r="C97" s="22" t="s">
        <v>919</v>
      </c>
      <c r="D97" s="419">
        <v>1194.3</v>
      </c>
      <c r="E97" s="419">
        <v>1632.7</v>
      </c>
      <c r="F97" s="419">
        <v>1028.8</v>
      </c>
      <c r="G97" s="419">
        <v>1222.7</v>
      </c>
      <c r="H97" s="419">
        <v>1402.7</v>
      </c>
      <c r="I97" s="419">
        <v>1447.5</v>
      </c>
      <c r="J97" s="419">
        <v>1361.9</v>
      </c>
      <c r="K97" s="419">
        <v>1219.5</v>
      </c>
      <c r="L97" s="419">
        <v>1356.3</v>
      </c>
      <c r="M97" s="419">
        <v>1199.2</v>
      </c>
      <c r="N97" s="419">
        <v>1635.7</v>
      </c>
      <c r="O97" s="419">
        <v>1184.2</v>
      </c>
      <c r="P97" s="59">
        <f>SUM(D97:O97)</f>
        <v>15885.500000000002</v>
      </c>
      <c r="S97" s="28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59"/>
      <c r="AI97" s="28"/>
      <c r="AJ97" s="276"/>
      <c r="AK97" s="276"/>
      <c r="AL97" s="276"/>
      <c r="AM97" s="276"/>
      <c r="AN97" s="276"/>
      <c r="AO97" s="276"/>
      <c r="AP97" s="276"/>
      <c r="AQ97" s="276"/>
      <c r="AR97" s="276"/>
      <c r="AS97" s="276"/>
      <c r="AT97" s="276"/>
      <c r="AU97" s="276"/>
      <c r="AV97" s="131"/>
      <c r="AW97" s="28"/>
      <c r="AX97" s="276"/>
      <c r="AY97" s="276"/>
      <c r="AZ97" s="276"/>
      <c r="BA97" s="276"/>
      <c r="BB97" s="276"/>
      <c r="BC97" s="276"/>
      <c r="BD97" s="276"/>
      <c r="BE97" s="276"/>
      <c r="BF97" s="276"/>
      <c r="BG97" s="276"/>
      <c r="BH97" s="276"/>
      <c r="BI97" s="276"/>
      <c r="BJ97" s="131"/>
    </row>
    <row r="98" spans="3:62" s="22" customFormat="1">
      <c r="C98" s="22" t="s">
        <v>920</v>
      </c>
      <c r="D98" s="152">
        <f>D97</f>
        <v>1194.3</v>
      </c>
      <c r="E98" s="152">
        <f>D98+E97</f>
        <v>2827</v>
      </c>
      <c r="F98" s="152">
        <f t="shared" ref="F98:O98" si="178">E98+F97</f>
        <v>3855.8</v>
      </c>
      <c r="G98" s="152">
        <f t="shared" si="178"/>
        <v>5078.5</v>
      </c>
      <c r="H98" s="152">
        <f t="shared" si="178"/>
        <v>6481.2</v>
      </c>
      <c r="I98" s="152">
        <f t="shared" si="178"/>
        <v>7928.7</v>
      </c>
      <c r="J98" s="152">
        <f t="shared" si="178"/>
        <v>9290.6</v>
      </c>
      <c r="K98" s="152">
        <f t="shared" si="178"/>
        <v>10510.1</v>
      </c>
      <c r="L98" s="152">
        <f t="shared" si="178"/>
        <v>11866.4</v>
      </c>
      <c r="M98" s="152">
        <f t="shared" si="178"/>
        <v>13065.6</v>
      </c>
      <c r="N98" s="152">
        <f t="shared" si="178"/>
        <v>14701.300000000001</v>
      </c>
      <c r="O98" s="152">
        <f t="shared" si="178"/>
        <v>15885.500000000002</v>
      </c>
      <c r="P98" s="59"/>
      <c r="S98" s="28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59"/>
      <c r="AI98" s="28"/>
      <c r="AJ98" s="276"/>
      <c r="AK98" s="276"/>
      <c r="AL98" s="276"/>
      <c r="AM98" s="276"/>
      <c r="AN98" s="276"/>
      <c r="AO98" s="276"/>
      <c r="AP98" s="276"/>
      <c r="AQ98" s="276"/>
      <c r="AR98" s="276"/>
      <c r="AS98" s="276"/>
      <c r="AT98" s="276"/>
      <c r="AU98" s="276"/>
      <c r="AV98" s="131"/>
      <c r="AW98" s="28"/>
      <c r="AX98" s="276"/>
      <c r="AY98" s="276"/>
      <c r="AZ98" s="276"/>
      <c r="BA98" s="276"/>
      <c r="BB98" s="276"/>
      <c r="BC98" s="276"/>
      <c r="BD98" s="276"/>
      <c r="BE98" s="276"/>
      <c r="BF98" s="276"/>
      <c r="BG98" s="276"/>
      <c r="BH98" s="276"/>
      <c r="BI98" s="276"/>
      <c r="BJ98" s="131"/>
    </row>
    <row r="99" spans="3:62" s="22" customFormat="1">
      <c r="C99" s="22" t="s">
        <v>414</v>
      </c>
      <c r="D99" s="419">
        <v>201883.7</v>
      </c>
      <c r="E99" s="419">
        <v>236809.9</v>
      </c>
      <c r="F99" s="394">
        <v>253006.5</v>
      </c>
      <c r="G99" s="394">
        <v>266568.8</v>
      </c>
      <c r="H99" s="394">
        <v>313472.5</v>
      </c>
      <c r="I99" s="419">
        <v>337786.9</v>
      </c>
      <c r="J99" s="419">
        <v>349383.2</v>
      </c>
      <c r="K99" s="419">
        <v>331778.8</v>
      </c>
      <c r="L99" s="419">
        <v>285117.7</v>
      </c>
      <c r="M99" s="419">
        <v>258913.3</v>
      </c>
      <c r="N99" s="419">
        <v>240207.4</v>
      </c>
      <c r="O99" s="419">
        <v>225741.4</v>
      </c>
      <c r="P99" s="59">
        <f>SUM(D99:O99)</f>
        <v>3300670.0999999996</v>
      </c>
      <c r="S99" s="28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59"/>
      <c r="AI99" s="28"/>
      <c r="AJ99" s="276"/>
      <c r="AK99" s="276"/>
      <c r="AL99" s="276"/>
      <c r="AM99" s="276"/>
      <c r="AN99" s="276"/>
      <c r="AO99" s="276"/>
      <c r="AP99" s="276"/>
      <c r="AQ99" s="276"/>
      <c r="AR99" s="276"/>
      <c r="AS99" s="276"/>
      <c r="AT99" s="276"/>
      <c r="AU99" s="276"/>
      <c r="AV99" s="131"/>
      <c r="AW99" s="28"/>
      <c r="AX99" s="276"/>
      <c r="AY99" s="276"/>
      <c r="AZ99" s="276"/>
      <c r="BA99" s="276"/>
      <c r="BB99" s="276"/>
      <c r="BC99" s="276"/>
      <c r="BD99" s="276"/>
      <c r="BE99" s="276"/>
      <c r="BF99" s="276"/>
      <c r="BG99" s="276"/>
      <c r="BH99" s="276"/>
      <c r="BI99" s="276"/>
      <c r="BJ99" s="131"/>
    </row>
    <row r="100" spans="3:62" s="22" customFormat="1">
      <c r="C100" s="22" t="s">
        <v>668</v>
      </c>
      <c r="D100" s="152">
        <f>D99</f>
        <v>201883.7</v>
      </c>
      <c r="E100" s="152">
        <f t="shared" ref="E100:O100" si="179">D100+E99</f>
        <v>438693.6</v>
      </c>
      <c r="F100" s="152">
        <f t="shared" si="179"/>
        <v>691700.1</v>
      </c>
      <c r="G100" s="152">
        <f t="shared" si="179"/>
        <v>958268.89999999991</v>
      </c>
      <c r="H100" s="152">
        <f t="shared" si="179"/>
        <v>1271741.3999999999</v>
      </c>
      <c r="I100" s="152">
        <f t="shared" si="179"/>
        <v>1609528.2999999998</v>
      </c>
      <c r="J100" s="152">
        <f t="shared" si="179"/>
        <v>1958911.4999999998</v>
      </c>
      <c r="K100" s="152">
        <f t="shared" si="179"/>
        <v>2290690.2999999998</v>
      </c>
      <c r="L100" s="152">
        <f t="shared" si="179"/>
        <v>2575808</v>
      </c>
      <c r="M100" s="152">
        <f t="shared" si="179"/>
        <v>2834721.3</v>
      </c>
      <c r="N100" s="152">
        <f t="shared" si="179"/>
        <v>3074928.6999999997</v>
      </c>
      <c r="O100" s="152">
        <f t="shared" si="179"/>
        <v>3300670.0999999996</v>
      </c>
      <c r="P100" s="59"/>
      <c r="S100" s="28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59"/>
      <c r="AI100" s="28"/>
      <c r="AJ100" s="276"/>
      <c r="AK100" s="276"/>
      <c r="AL100" s="276"/>
      <c r="AM100" s="276"/>
      <c r="AN100" s="276"/>
      <c r="AO100" s="276"/>
      <c r="AP100" s="276"/>
      <c r="AQ100" s="276"/>
      <c r="AR100" s="276"/>
      <c r="AS100" s="276"/>
      <c r="AT100" s="276"/>
      <c r="AU100" s="276"/>
      <c r="AV100" s="131"/>
      <c r="AW100" s="28"/>
      <c r="AX100" s="276"/>
      <c r="AY100" s="276"/>
      <c r="AZ100" s="276"/>
      <c r="BA100" s="276"/>
      <c r="BB100" s="276"/>
      <c r="BC100" s="276"/>
      <c r="BD100" s="276"/>
      <c r="BE100" s="276"/>
      <c r="BF100" s="276"/>
      <c r="BG100" s="276"/>
      <c r="BH100" s="276"/>
      <c r="BI100" s="276"/>
      <c r="BJ100" s="131"/>
    </row>
    <row r="101" spans="3:62" s="22" customFormat="1">
      <c r="C101" s="22" t="s">
        <v>514</v>
      </c>
      <c r="D101" s="152">
        <f>D99</f>
        <v>201883.7</v>
      </c>
      <c r="E101" s="152">
        <f>E99</f>
        <v>236809.9</v>
      </c>
      <c r="F101" s="152">
        <f>F99</f>
        <v>253006.5</v>
      </c>
      <c r="G101" s="27">
        <f t="shared" ref="G101:M101" si="180">AVERAGE($D$99:$F$99)+((G99-AVERAGE($D$99:$F$99))*G2/G3)</f>
        <v>262255.85807106597</v>
      </c>
      <c r="H101" s="27">
        <f t="shared" si="180"/>
        <v>322177.609</v>
      </c>
      <c r="I101" s="318">
        <f t="shared" si="180"/>
        <v>349060.92626527051</v>
      </c>
      <c r="J101" s="318">
        <f t="shared" si="180"/>
        <v>353823.64145985403</v>
      </c>
      <c r="K101" s="318">
        <f t="shared" si="180"/>
        <v>334160.26117647055</v>
      </c>
      <c r="L101" s="318">
        <f t="shared" si="180"/>
        <v>333054.68390557944</v>
      </c>
      <c r="M101" s="318">
        <f t="shared" si="180"/>
        <v>256614.92702702701</v>
      </c>
      <c r="N101" s="152">
        <f>N99</f>
        <v>240207.4</v>
      </c>
      <c r="O101" s="152">
        <f>O99</f>
        <v>225741.4</v>
      </c>
      <c r="P101" s="59">
        <f>SUM(D101:O101)</f>
        <v>3368796.8069052678</v>
      </c>
      <c r="S101" s="28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59"/>
      <c r="AI101" s="28"/>
      <c r="AJ101" s="276"/>
      <c r="AK101" s="276"/>
      <c r="AL101" s="276"/>
      <c r="AM101" s="276"/>
      <c r="AN101" s="276"/>
      <c r="AO101" s="276"/>
      <c r="AP101" s="276"/>
      <c r="AQ101" s="276"/>
      <c r="AR101" s="276"/>
      <c r="AS101" s="276"/>
      <c r="AT101" s="276"/>
      <c r="AU101" s="276"/>
      <c r="AV101" s="131"/>
      <c r="AW101" s="28"/>
      <c r="AX101" s="276"/>
      <c r="AY101" s="276"/>
      <c r="AZ101" s="276"/>
      <c r="BA101" s="276"/>
      <c r="BB101" s="276"/>
      <c r="BC101" s="276"/>
      <c r="BD101" s="276"/>
      <c r="BE101" s="276"/>
      <c r="BF101" s="276"/>
      <c r="BG101" s="276"/>
      <c r="BH101" s="276"/>
      <c r="BI101" s="276"/>
      <c r="BJ101" s="131"/>
    </row>
    <row r="102" spans="3:62" s="22" customFormat="1">
      <c r="C102" s="22" t="s">
        <v>669</v>
      </c>
      <c r="D102" s="152">
        <f>D101</f>
        <v>201883.7</v>
      </c>
      <c r="E102" s="152">
        <f t="shared" ref="E102:O102" si="181">D102+E101</f>
        <v>438693.6</v>
      </c>
      <c r="F102" s="152">
        <f t="shared" si="181"/>
        <v>691700.1</v>
      </c>
      <c r="G102" s="152">
        <f t="shared" si="181"/>
        <v>953955.95807106595</v>
      </c>
      <c r="H102" s="152">
        <f t="shared" si="181"/>
        <v>1276133.567071066</v>
      </c>
      <c r="I102" s="152">
        <f t="shared" si="181"/>
        <v>1625194.4933363365</v>
      </c>
      <c r="J102" s="152">
        <f t="shared" si="181"/>
        <v>1979018.1347961905</v>
      </c>
      <c r="K102" s="152">
        <f t="shared" si="181"/>
        <v>2313178.3959726612</v>
      </c>
      <c r="L102" s="152">
        <f t="shared" si="181"/>
        <v>2646233.0798782408</v>
      </c>
      <c r="M102" s="152">
        <f t="shared" si="181"/>
        <v>2902848.0069052679</v>
      </c>
      <c r="N102" s="152">
        <f t="shared" si="181"/>
        <v>3143055.4069052679</v>
      </c>
      <c r="O102" s="152">
        <f t="shared" si="181"/>
        <v>3368796.8069052678</v>
      </c>
      <c r="P102" s="59"/>
      <c r="S102" s="28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59"/>
      <c r="AI102" s="28"/>
      <c r="AJ102" s="276"/>
      <c r="AK102" s="276"/>
      <c r="AL102" s="276"/>
      <c r="AM102" s="276"/>
      <c r="AN102" s="276"/>
      <c r="AO102" s="276"/>
      <c r="AP102" s="276"/>
      <c r="AQ102" s="276"/>
      <c r="AR102" s="276"/>
      <c r="AS102" s="276"/>
      <c r="AT102" s="276"/>
      <c r="AU102" s="276"/>
      <c r="AV102" s="131"/>
      <c r="AW102" s="28"/>
      <c r="AX102" s="276"/>
      <c r="AY102" s="276"/>
      <c r="AZ102" s="276"/>
      <c r="BA102" s="276"/>
      <c r="BB102" s="276"/>
      <c r="BC102" s="276"/>
      <c r="BD102" s="276"/>
      <c r="BE102" s="276"/>
      <c r="BF102" s="276"/>
      <c r="BG102" s="276"/>
      <c r="BH102" s="276"/>
      <c r="BI102" s="276"/>
      <c r="BJ102" s="131"/>
    </row>
    <row r="103" spans="3:62" s="22" customFormat="1">
      <c r="C103" s="277" t="s">
        <v>929</v>
      </c>
      <c r="D103" s="152">
        <f>SUM(D93,D97,D99)</f>
        <v>216811.1</v>
      </c>
      <c r="E103" s="152">
        <f>SUM(E93,E97,E99)</f>
        <v>240336.4</v>
      </c>
      <c r="F103" s="152">
        <f t="shared" ref="F103:M103" si="182">SUM(F93,F97,F99)</f>
        <v>255779.8</v>
      </c>
      <c r="G103" s="152">
        <f t="shared" si="182"/>
        <v>275439.8</v>
      </c>
      <c r="H103" s="152">
        <f t="shared" si="182"/>
        <v>330773.90000000002</v>
      </c>
      <c r="I103" s="152">
        <f t="shared" si="182"/>
        <v>357854.10000000003</v>
      </c>
      <c r="J103" s="152">
        <f t="shared" si="182"/>
        <v>372037</v>
      </c>
      <c r="K103" s="152">
        <f t="shared" si="182"/>
        <v>352315.7</v>
      </c>
      <c r="L103" s="152">
        <f t="shared" si="182"/>
        <v>299981</v>
      </c>
      <c r="M103" s="152">
        <f t="shared" si="182"/>
        <v>269909.3</v>
      </c>
      <c r="N103" s="152">
        <f t="shared" ref="N103:O103" si="183">SUM(N93,N97,N99)</f>
        <v>247803</v>
      </c>
      <c r="O103" s="152">
        <f t="shared" si="183"/>
        <v>229430.5</v>
      </c>
      <c r="P103" s="59">
        <f>SUM(D103:O103)</f>
        <v>3448471.6</v>
      </c>
      <c r="S103" s="24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59"/>
      <c r="AI103" s="24"/>
      <c r="AJ103" s="276"/>
      <c r="AK103" s="276"/>
      <c r="AL103" s="276"/>
      <c r="AM103" s="276"/>
      <c r="AN103" s="276"/>
      <c r="AO103" s="276"/>
      <c r="AP103" s="276"/>
      <c r="AQ103" s="276"/>
      <c r="AR103" s="276"/>
      <c r="AS103" s="276"/>
      <c r="AT103" s="276"/>
      <c r="AU103" s="276"/>
      <c r="AV103" s="131"/>
      <c r="AW103" s="24"/>
      <c r="AX103" s="276"/>
      <c r="AY103" s="276"/>
      <c r="AZ103" s="276"/>
      <c r="BA103" s="276"/>
      <c r="BB103" s="276"/>
      <c r="BC103" s="276"/>
      <c r="BD103" s="276"/>
      <c r="BE103" s="276"/>
      <c r="BF103" s="276"/>
      <c r="BG103" s="276"/>
      <c r="BH103" s="276"/>
      <c r="BI103" s="276"/>
      <c r="BJ103" s="131"/>
    </row>
    <row r="104" spans="3:62" s="22" customFormat="1">
      <c r="C104" s="277" t="s">
        <v>670</v>
      </c>
      <c r="D104" s="152">
        <f>D103</f>
        <v>216811.1</v>
      </c>
      <c r="E104" s="152">
        <f t="shared" ref="E104:O104" si="184">D104+E103</f>
        <v>457147.5</v>
      </c>
      <c r="F104" s="152">
        <f t="shared" si="184"/>
        <v>712927.3</v>
      </c>
      <c r="G104" s="152">
        <f t="shared" si="184"/>
        <v>988367.10000000009</v>
      </c>
      <c r="H104" s="152">
        <f t="shared" si="184"/>
        <v>1319141</v>
      </c>
      <c r="I104" s="152">
        <f t="shared" si="184"/>
        <v>1676995.1</v>
      </c>
      <c r="J104" s="152">
        <f t="shared" si="184"/>
        <v>2049032.1</v>
      </c>
      <c r="K104" s="152">
        <f t="shared" si="184"/>
        <v>2401347.8000000003</v>
      </c>
      <c r="L104" s="152">
        <f t="shared" si="184"/>
        <v>2701328.8000000003</v>
      </c>
      <c r="M104" s="152">
        <f t="shared" si="184"/>
        <v>2971238.1</v>
      </c>
      <c r="N104" s="152">
        <f t="shared" si="184"/>
        <v>3219041.1</v>
      </c>
      <c r="O104" s="152">
        <f t="shared" si="184"/>
        <v>3448471.6</v>
      </c>
      <c r="P104" s="59"/>
      <c r="S104" s="24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59"/>
      <c r="AI104" s="24"/>
      <c r="AJ104" s="276"/>
      <c r="AK104" s="276"/>
      <c r="AL104" s="276"/>
      <c r="AM104" s="276"/>
      <c r="AN104" s="276"/>
      <c r="AO104" s="276"/>
      <c r="AP104" s="276"/>
      <c r="AQ104" s="276"/>
      <c r="AR104" s="276"/>
      <c r="AS104" s="276"/>
      <c r="AT104" s="276"/>
      <c r="AU104" s="276"/>
      <c r="AV104" s="131"/>
      <c r="AW104" s="24"/>
      <c r="AX104" s="276"/>
      <c r="AY104" s="276"/>
      <c r="AZ104" s="276"/>
      <c r="BA104" s="276"/>
      <c r="BB104" s="276"/>
      <c r="BC104" s="276"/>
      <c r="BD104" s="276"/>
      <c r="BE104" s="276"/>
      <c r="BF104" s="276"/>
      <c r="BG104" s="276"/>
      <c r="BH104" s="276"/>
      <c r="BI104" s="276"/>
      <c r="BJ104" s="131"/>
    </row>
    <row r="105" spans="3:62" s="22" customFormat="1">
      <c r="C105" s="27" t="s">
        <v>934</v>
      </c>
      <c r="D105" s="152">
        <f>SUM(D95,D97,D101)</f>
        <v>216811.1</v>
      </c>
      <c r="E105" s="152">
        <f>SUM(E95,E97,E101)</f>
        <v>240336.4</v>
      </c>
      <c r="F105" s="152">
        <f t="shared" ref="F105:M105" si="185">SUM(F95,F101)</f>
        <v>254751</v>
      </c>
      <c r="G105" s="152">
        <f t="shared" si="185"/>
        <v>269681.59529610828</v>
      </c>
      <c r="H105" s="152">
        <f t="shared" si="185"/>
        <v>339137.67349999998</v>
      </c>
      <c r="I105" s="152">
        <f t="shared" si="185"/>
        <v>369029.59888016287</v>
      </c>
      <c r="J105" s="152">
        <f t="shared" si="185"/>
        <v>375694.86509975669</v>
      </c>
      <c r="K105" s="152">
        <f t="shared" si="185"/>
        <v>353795.94196078426</v>
      </c>
      <c r="L105" s="152">
        <f t="shared" si="185"/>
        <v>353342.62896995712</v>
      </c>
      <c r="M105" s="152">
        <f t="shared" si="185"/>
        <v>266086.88918918918</v>
      </c>
      <c r="N105" s="152">
        <f t="shared" ref="N105:O105" si="186">SUM(N95,N101)</f>
        <v>246167.3</v>
      </c>
      <c r="O105" s="152">
        <f t="shared" si="186"/>
        <v>228246.3</v>
      </c>
      <c r="P105" s="59">
        <f>SUM(D105:O105)</f>
        <v>3513081.2928959583</v>
      </c>
      <c r="S105" s="28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59"/>
      <c r="AI105" s="28"/>
      <c r="AJ105" s="276"/>
      <c r="AK105" s="276"/>
      <c r="AL105" s="276"/>
      <c r="AM105" s="276"/>
      <c r="AN105" s="276"/>
      <c r="AO105" s="276"/>
      <c r="AP105" s="276"/>
      <c r="AQ105" s="276"/>
      <c r="AR105" s="276"/>
      <c r="AS105" s="276"/>
      <c r="AT105" s="276"/>
      <c r="AU105" s="276"/>
      <c r="AV105" s="131"/>
      <c r="AW105" s="28"/>
      <c r="AX105" s="276"/>
      <c r="AY105" s="276"/>
      <c r="AZ105" s="276"/>
      <c r="BA105" s="276"/>
      <c r="BB105" s="276"/>
      <c r="BC105" s="276"/>
      <c r="BD105" s="276"/>
      <c r="BE105" s="276"/>
      <c r="BF105" s="276"/>
      <c r="BG105" s="276"/>
      <c r="BH105" s="276"/>
      <c r="BI105" s="276"/>
      <c r="BJ105" s="131"/>
    </row>
    <row r="106" spans="3:62" s="22" customFormat="1">
      <c r="C106" s="27" t="s">
        <v>671</v>
      </c>
      <c r="D106" s="152">
        <f>D105</f>
        <v>216811.1</v>
      </c>
      <c r="E106" s="152">
        <f t="shared" ref="E106:O106" si="187">D106+E105</f>
        <v>457147.5</v>
      </c>
      <c r="F106" s="152">
        <f t="shared" si="187"/>
        <v>711898.5</v>
      </c>
      <c r="G106" s="152">
        <f t="shared" si="187"/>
        <v>981580.09529610828</v>
      </c>
      <c r="H106" s="152">
        <f t="shared" si="187"/>
        <v>1320717.7687961082</v>
      </c>
      <c r="I106" s="152">
        <f t="shared" si="187"/>
        <v>1689747.3676762711</v>
      </c>
      <c r="J106" s="152">
        <f t="shared" si="187"/>
        <v>2065442.2327760279</v>
      </c>
      <c r="K106" s="152">
        <f t="shared" si="187"/>
        <v>2419238.1747368122</v>
      </c>
      <c r="L106" s="152">
        <f t="shared" si="187"/>
        <v>2772580.8037067694</v>
      </c>
      <c r="M106" s="152">
        <f t="shared" si="187"/>
        <v>3038667.6928959587</v>
      </c>
      <c r="N106" s="152">
        <f t="shared" si="187"/>
        <v>3284834.9928959585</v>
      </c>
      <c r="O106" s="152">
        <f t="shared" si="187"/>
        <v>3513081.2928959583</v>
      </c>
      <c r="P106" s="59"/>
      <c r="S106" s="28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59"/>
      <c r="AI106" s="28"/>
      <c r="AJ106" s="276"/>
      <c r="AK106" s="276"/>
      <c r="AL106" s="276"/>
      <c r="AM106" s="276"/>
      <c r="AN106" s="276"/>
      <c r="AO106" s="276"/>
      <c r="AP106" s="276"/>
      <c r="AQ106" s="276"/>
      <c r="AR106" s="276"/>
      <c r="AS106" s="276"/>
      <c r="AT106" s="276"/>
      <c r="AU106" s="276"/>
      <c r="AV106" s="131"/>
      <c r="AW106" s="28"/>
      <c r="AX106" s="276"/>
      <c r="AY106" s="276"/>
      <c r="AZ106" s="276"/>
      <c r="BA106" s="276"/>
      <c r="BB106" s="276"/>
      <c r="BC106" s="276"/>
      <c r="BD106" s="276"/>
      <c r="BE106" s="276"/>
      <c r="BF106" s="276"/>
      <c r="BG106" s="276"/>
      <c r="BH106" s="276"/>
      <c r="BI106" s="276"/>
      <c r="BJ106" s="131"/>
    </row>
    <row r="107" spans="3:62" s="22" customFormat="1">
      <c r="C107" s="22" t="s">
        <v>585</v>
      </c>
      <c r="D107" s="152">
        <f t="shared" ref="D107:I107" si="188">SUM(D89,D103)</f>
        <v>454207.4</v>
      </c>
      <c r="E107" s="152">
        <f t="shared" si="188"/>
        <v>516679.70000000007</v>
      </c>
      <c r="F107" s="152">
        <f t="shared" si="188"/>
        <v>566560.30000000005</v>
      </c>
      <c r="G107" s="152">
        <f t="shared" si="188"/>
        <v>830814.40000000014</v>
      </c>
      <c r="H107" s="152">
        <f t="shared" si="188"/>
        <v>1372415.5</v>
      </c>
      <c r="I107" s="152">
        <f t="shared" si="188"/>
        <v>1896338.6000000003</v>
      </c>
      <c r="J107" s="152">
        <f t="shared" ref="J107:O107" si="189">SUM(J89,J103)</f>
        <v>2130829.9</v>
      </c>
      <c r="K107" s="152">
        <f t="shared" si="189"/>
        <v>1917655.6</v>
      </c>
      <c r="L107" s="152">
        <f t="shared" si="189"/>
        <v>1105466.6000000001</v>
      </c>
      <c r="M107" s="152">
        <f t="shared" si="189"/>
        <v>835564.8</v>
      </c>
      <c r="N107" s="152">
        <f t="shared" si="189"/>
        <v>619956.9</v>
      </c>
      <c r="O107" s="152">
        <f t="shared" si="189"/>
        <v>511154.6</v>
      </c>
      <c r="P107" s="59">
        <f>SUM(D107:O107)</f>
        <v>12757644.300000001</v>
      </c>
      <c r="S107" s="28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59"/>
      <c r="AI107" s="28"/>
      <c r="AJ107" s="276"/>
      <c r="AK107" s="276"/>
      <c r="AL107" s="276"/>
      <c r="AM107" s="276"/>
      <c r="AN107" s="276"/>
      <c r="AO107" s="276"/>
      <c r="AP107" s="276"/>
      <c r="AQ107" s="276"/>
      <c r="AR107" s="276"/>
      <c r="AS107" s="276"/>
      <c r="AT107" s="276"/>
      <c r="AU107" s="276"/>
      <c r="AV107" s="131"/>
      <c r="AW107" s="28"/>
      <c r="AX107" s="276"/>
      <c r="AY107" s="276"/>
      <c r="AZ107" s="276"/>
      <c r="BA107" s="276"/>
      <c r="BB107" s="276"/>
      <c r="BC107" s="276"/>
      <c r="BD107" s="276"/>
      <c r="BE107" s="276"/>
      <c r="BF107" s="276"/>
      <c r="BG107" s="276"/>
      <c r="BH107" s="276"/>
      <c r="BI107" s="276"/>
      <c r="BJ107" s="131"/>
    </row>
    <row r="108" spans="3:62" s="22" customFormat="1">
      <c r="C108" s="22" t="s">
        <v>672</v>
      </c>
      <c r="D108" s="152">
        <f>D107</f>
        <v>454207.4</v>
      </c>
      <c r="E108" s="152">
        <f t="shared" ref="E108:O108" si="190">D108+E107</f>
        <v>970887.10000000009</v>
      </c>
      <c r="F108" s="152">
        <f t="shared" si="190"/>
        <v>1537447.4000000001</v>
      </c>
      <c r="G108" s="152">
        <f t="shared" si="190"/>
        <v>2368261.8000000003</v>
      </c>
      <c r="H108" s="152">
        <f t="shared" si="190"/>
        <v>3740677.3000000003</v>
      </c>
      <c r="I108" s="152">
        <f t="shared" si="190"/>
        <v>5637015.9000000004</v>
      </c>
      <c r="J108" s="152">
        <f t="shared" si="190"/>
        <v>7767845.8000000007</v>
      </c>
      <c r="K108" s="152">
        <f t="shared" si="190"/>
        <v>9685501.4000000004</v>
      </c>
      <c r="L108" s="152">
        <f t="shared" si="190"/>
        <v>10790968</v>
      </c>
      <c r="M108" s="152">
        <f t="shared" si="190"/>
        <v>11626532.800000001</v>
      </c>
      <c r="N108" s="152">
        <f t="shared" si="190"/>
        <v>12246489.700000001</v>
      </c>
      <c r="O108" s="152">
        <f t="shared" si="190"/>
        <v>12757644.300000001</v>
      </c>
      <c r="P108" s="59"/>
      <c r="S108" s="28"/>
      <c r="T108" s="162"/>
      <c r="U108" s="162"/>
      <c r="V108" s="162"/>
      <c r="W108" s="162"/>
      <c r="X108" s="162"/>
      <c r="Y108" s="162"/>
      <c r="Z108" s="162"/>
      <c r="AA108" s="162"/>
      <c r="AB108" s="162"/>
      <c r="AC108" s="162"/>
      <c r="AD108" s="162"/>
      <c r="AE108" s="162"/>
      <c r="AF108" s="59"/>
      <c r="AI108" s="28"/>
      <c r="AJ108" s="276"/>
      <c r="AK108" s="276"/>
      <c r="AL108" s="276"/>
      <c r="AM108" s="276"/>
      <c r="AN108" s="276"/>
      <c r="AO108" s="276"/>
      <c r="AP108" s="276"/>
      <c r="AQ108" s="276"/>
      <c r="AR108" s="276"/>
      <c r="AS108" s="276"/>
      <c r="AT108" s="276"/>
      <c r="AU108" s="276"/>
      <c r="AV108" s="131"/>
      <c r="AW108" s="28"/>
      <c r="AX108" s="276"/>
      <c r="AY108" s="276"/>
      <c r="AZ108" s="276"/>
      <c r="BA108" s="276"/>
      <c r="BB108" s="276"/>
      <c r="BC108" s="276"/>
      <c r="BD108" s="276"/>
      <c r="BE108" s="276"/>
      <c r="BF108" s="276"/>
      <c r="BG108" s="276"/>
      <c r="BH108" s="276"/>
      <c r="BI108" s="276"/>
      <c r="BJ108" s="131"/>
    </row>
    <row r="109" spans="3:62" s="22" customFormat="1">
      <c r="C109" s="22" t="s">
        <v>537</v>
      </c>
      <c r="D109" s="152">
        <f t="shared" ref="D109:I109" si="191">SUM(D91,D105)</f>
        <v>454207.4</v>
      </c>
      <c r="E109" s="152">
        <f t="shared" si="191"/>
        <v>516679.70000000007</v>
      </c>
      <c r="F109" s="152">
        <f t="shared" si="191"/>
        <v>565531.5</v>
      </c>
      <c r="G109" s="152">
        <f t="shared" si="191"/>
        <v>791449.00862944161</v>
      </c>
      <c r="H109" s="152">
        <f t="shared" si="191"/>
        <v>1461293.4379999998</v>
      </c>
      <c r="I109" s="152">
        <f t="shared" si="191"/>
        <v>2040384.2195026178</v>
      </c>
      <c r="J109" s="152">
        <f t="shared" ref="J109:O109" si="192">SUM(J91,J105)</f>
        <v>2189946.4415766424</v>
      </c>
      <c r="K109" s="152">
        <f t="shared" si="192"/>
        <v>1949500.5447058827</v>
      </c>
      <c r="L109" s="152">
        <f t="shared" si="192"/>
        <v>1625135.8674892704</v>
      </c>
      <c r="M109" s="152">
        <f t="shared" si="192"/>
        <v>808162.7567567568</v>
      </c>
      <c r="N109" s="152">
        <f t="shared" si="192"/>
        <v>601031.5</v>
      </c>
      <c r="O109" s="152">
        <f t="shared" si="192"/>
        <v>544626.52091370546</v>
      </c>
      <c r="P109" s="59">
        <f>SUM(D109:O109)</f>
        <v>13547948.897574317</v>
      </c>
      <c r="S109" s="28"/>
      <c r="T109" s="162"/>
      <c r="U109" s="162"/>
      <c r="V109" s="162"/>
      <c r="W109" s="162"/>
      <c r="X109" s="162"/>
      <c r="Y109" s="162"/>
      <c r="Z109" s="162"/>
      <c r="AA109" s="162"/>
      <c r="AB109" s="162"/>
      <c r="AC109" s="162"/>
      <c r="AD109" s="162"/>
      <c r="AE109" s="162"/>
      <c r="AF109" s="59"/>
      <c r="AI109" s="28"/>
      <c r="AJ109" s="276"/>
      <c r="AK109" s="276"/>
      <c r="AL109" s="276"/>
      <c r="AM109" s="276"/>
      <c r="AN109" s="276"/>
      <c r="AO109" s="276"/>
      <c r="AP109" s="276"/>
      <c r="AQ109" s="276"/>
      <c r="AR109" s="276"/>
      <c r="AS109" s="276"/>
      <c r="AT109" s="276"/>
      <c r="AU109" s="276"/>
      <c r="AV109" s="131"/>
      <c r="AW109" s="28"/>
      <c r="AX109" s="276"/>
      <c r="AY109" s="276"/>
      <c r="AZ109" s="276"/>
      <c r="BA109" s="276"/>
      <c r="BB109" s="276"/>
      <c r="BC109" s="276"/>
      <c r="BD109" s="276"/>
      <c r="BE109" s="276"/>
      <c r="BF109" s="276"/>
      <c r="BG109" s="276"/>
      <c r="BH109" s="276"/>
      <c r="BI109" s="276"/>
      <c r="BJ109" s="131"/>
    </row>
    <row r="110" spans="3:62" s="22" customFormat="1">
      <c r="C110" s="22" t="s">
        <v>709</v>
      </c>
      <c r="D110" s="152">
        <f>SUM(D92,D106)</f>
        <v>454207.4</v>
      </c>
      <c r="E110" s="152">
        <f t="shared" ref="E110:O110" si="193">D110+E109</f>
        <v>970887.10000000009</v>
      </c>
      <c r="F110" s="152">
        <f t="shared" si="193"/>
        <v>1536418.6</v>
      </c>
      <c r="G110" s="152">
        <f t="shared" si="193"/>
        <v>2327867.6086294418</v>
      </c>
      <c r="H110" s="152">
        <f t="shared" si="193"/>
        <v>3789161.0466294419</v>
      </c>
      <c r="I110" s="152">
        <f t="shared" si="193"/>
        <v>5829545.2661320595</v>
      </c>
      <c r="J110" s="152">
        <f t="shared" si="193"/>
        <v>8019491.7077087015</v>
      </c>
      <c r="K110" s="152">
        <f t="shared" si="193"/>
        <v>9968992.2524145842</v>
      </c>
      <c r="L110" s="152">
        <f t="shared" si="193"/>
        <v>11594128.119903855</v>
      </c>
      <c r="M110" s="152">
        <f t="shared" si="193"/>
        <v>12402290.876660611</v>
      </c>
      <c r="N110" s="152">
        <f t="shared" si="193"/>
        <v>13003322.376660611</v>
      </c>
      <c r="O110" s="152">
        <f t="shared" si="193"/>
        <v>13547948.897574317</v>
      </c>
      <c r="P110" s="59"/>
      <c r="S110" s="28"/>
      <c r="T110" s="162"/>
      <c r="U110" s="162"/>
      <c r="V110" s="162"/>
      <c r="W110" s="162"/>
      <c r="X110" s="162"/>
      <c r="Y110" s="162"/>
      <c r="Z110" s="162"/>
      <c r="AA110" s="162"/>
      <c r="AB110" s="162"/>
      <c r="AC110" s="162"/>
      <c r="AD110" s="162"/>
      <c r="AE110" s="162"/>
      <c r="AF110" s="59"/>
      <c r="AI110" s="28"/>
      <c r="AJ110" s="276"/>
      <c r="AK110" s="276"/>
      <c r="AL110" s="276"/>
      <c r="AM110" s="276"/>
      <c r="AN110" s="276"/>
      <c r="AO110" s="276"/>
      <c r="AP110" s="276"/>
      <c r="AQ110" s="276"/>
      <c r="AR110" s="276"/>
      <c r="AS110" s="276"/>
      <c r="AT110" s="276"/>
      <c r="AU110" s="276"/>
      <c r="AV110" s="131"/>
      <c r="AW110" s="28"/>
      <c r="AX110" s="276"/>
      <c r="AY110" s="276"/>
      <c r="AZ110" s="276"/>
      <c r="BA110" s="276"/>
      <c r="BB110" s="276"/>
      <c r="BC110" s="276"/>
      <c r="BD110" s="276"/>
      <c r="BE110" s="276"/>
      <c r="BF110" s="276"/>
      <c r="BG110" s="276"/>
      <c r="BH110" s="276"/>
      <c r="BI110" s="276"/>
      <c r="BJ110" s="131"/>
    </row>
    <row r="111" spans="3:62" s="22" customFormat="1">
      <c r="D111" s="152"/>
      <c r="E111" s="152"/>
      <c r="F111" s="152"/>
      <c r="G111" s="152"/>
      <c r="H111" s="162"/>
      <c r="I111" s="162"/>
      <c r="J111" s="162"/>
      <c r="K111" s="162"/>
      <c r="L111" s="162"/>
      <c r="M111" s="162"/>
      <c r="N111" s="162"/>
      <c r="O111" s="162"/>
      <c r="P111" s="59"/>
      <c r="S111" s="28"/>
      <c r="T111" s="162"/>
      <c r="U111" s="162"/>
      <c r="V111" s="162"/>
      <c r="W111" s="162"/>
      <c r="X111" s="162"/>
      <c r="Y111" s="162"/>
      <c r="Z111" s="162"/>
      <c r="AA111" s="162"/>
      <c r="AB111" s="162"/>
      <c r="AC111" s="162"/>
      <c r="AD111" s="162"/>
      <c r="AE111" s="162"/>
      <c r="AF111" s="59"/>
      <c r="AI111" s="28"/>
      <c r="AJ111" s="276"/>
      <c r="AK111" s="276"/>
      <c r="AL111" s="276"/>
      <c r="AM111" s="276"/>
      <c r="AN111" s="276"/>
      <c r="AO111" s="276"/>
      <c r="AP111" s="276"/>
      <c r="AQ111" s="276"/>
      <c r="AR111" s="276"/>
      <c r="AS111" s="276"/>
      <c r="AT111" s="276"/>
      <c r="AU111" s="276"/>
      <c r="AV111" s="131"/>
      <c r="AW111" s="28"/>
      <c r="AX111" s="276"/>
      <c r="AY111" s="276"/>
      <c r="AZ111" s="276"/>
      <c r="BA111" s="276"/>
      <c r="BB111" s="276"/>
      <c r="BC111" s="276"/>
      <c r="BD111" s="276"/>
      <c r="BE111" s="276"/>
      <c r="BF111" s="276"/>
      <c r="BG111" s="276"/>
      <c r="BH111" s="276"/>
      <c r="BI111" s="276"/>
      <c r="BJ111" s="131"/>
    </row>
    <row r="112" spans="3:62">
      <c r="D112" s="22"/>
      <c r="E112" s="22"/>
      <c r="F112" s="22"/>
      <c r="G112" s="22"/>
      <c r="H112" s="22"/>
      <c r="I112" s="152"/>
      <c r="J112" s="152"/>
      <c r="K112" s="152"/>
      <c r="L112" s="152"/>
      <c r="M112" s="152"/>
      <c r="N112" s="22"/>
      <c r="O112" s="22"/>
      <c r="P112" s="151"/>
      <c r="S112" s="24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151"/>
      <c r="AI112" s="24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182"/>
      <c r="AW112" s="24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182"/>
    </row>
    <row r="113" spans="3:62">
      <c r="C113" s="11" t="s">
        <v>519</v>
      </c>
      <c r="D113" s="149">
        <v>40725</v>
      </c>
      <c r="E113" s="149">
        <v>40756</v>
      </c>
      <c r="F113" s="149">
        <v>40787</v>
      </c>
      <c r="G113" s="149">
        <v>40817</v>
      </c>
      <c r="H113" s="149">
        <v>40848</v>
      </c>
      <c r="I113" s="149">
        <v>40878</v>
      </c>
      <c r="J113" s="149">
        <v>40909</v>
      </c>
      <c r="K113" s="149">
        <v>40940</v>
      </c>
      <c r="L113" s="149">
        <v>40969</v>
      </c>
      <c r="M113" s="149">
        <v>41000</v>
      </c>
      <c r="N113" s="149">
        <v>41030</v>
      </c>
      <c r="O113" s="149">
        <v>41061</v>
      </c>
      <c r="P113" s="11" t="s">
        <v>857</v>
      </c>
      <c r="S113" s="13"/>
      <c r="T113" s="181"/>
      <c r="U113" s="181"/>
      <c r="V113" s="181"/>
      <c r="W113" s="181"/>
      <c r="X113" s="181"/>
      <c r="Y113" s="181"/>
      <c r="Z113" s="181"/>
      <c r="AA113" s="181"/>
      <c r="AB113" s="181"/>
      <c r="AC113" s="181"/>
      <c r="AD113" s="149"/>
      <c r="AE113" s="149"/>
      <c r="AF113" s="11"/>
      <c r="AI113" s="13"/>
      <c r="AJ113" s="181"/>
      <c r="AK113" s="181"/>
      <c r="AL113" s="181"/>
      <c r="AM113" s="181"/>
      <c r="AN113" s="181"/>
      <c r="AO113" s="181"/>
      <c r="AP113" s="181"/>
      <c r="AQ113" s="181"/>
      <c r="AR113" s="181"/>
      <c r="AS113" s="181"/>
      <c r="AT113" s="181"/>
      <c r="AU113" s="181"/>
      <c r="AV113" s="13"/>
      <c r="AW113" s="13"/>
      <c r="AX113" s="181"/>
      <c r="AY113" s="181"/>
      <c r="AZ113" s="181"/>
      <c r="BA113" s="181"/>
      <c r="BB113" s="181"/>
      <c r="BC113" s="181"/>
      <c r="BD113" s="181"/>
      <c r="BE113" s="181"/>
      <c r="BF113" s="181"/>
      <c r="BG113" s="181"/>
      <c r="BH113" s="181"/>
      <c r="BI113" s="181"/>
      <c r="BJ113" s="13"/>
    </row>
    <row r="114" spans="3:62">
      <c r="C114" s="108" t="s">
        <v>515</v>
      </c>
      <c r="D114" s="164">
        <f t="shared" ref="D114:M114" si="194">D73-D39</f>
        <v>-13039.199999999997</v>
      </c>
      <c r="E114" s="164">
        <f t="shared" si="194"/>
        <v>9925.3000000000029</v>
      </c>
      <c r="F114" s="164">
        <f t="shared" si="194"/>
        <v>-6088.8999999999942</v>
      </c>
      <c r="G114" s="164">
        <f t="shared" si="194"/>
        <v>-64549.799999999988</v>
      </c>
      <c r="H114" s="164">
        <f t="shared" si="194"/>
        <v>-47098.099999999977</v>
      </c>
      <c r="I114" s="164">
        <f t="shared" si="194"/>
        <v>-97188.199999999953</v>
      </c>
      <c r="J114" s="164">
        <f t="shared" si="194"/>
        <v>-94500.300000000047</v>
      </c>
      <c r="K114" s="164">
        <f t="shared" si="194"/>
        <v>-25986.5</v>
      </c>
      <c r="L114" s="164">
        <f t="shared" si="194"/>
        <v>-330786.3</v>
      </c>
      <c r="M114" s="164">
        <f t="shared" si="194"/>
        <v>-114857.79999999999</v>
      </c>
      <c r="N114" s="164">
        <f t="shared" ref="N114:O114" si="195">N73-N39</f>
        <v>-40126.200000000012</v>
      </c>
      <c r="O114" s="164">
        <f t="shared" si="195"/>
        <v>8704.1999999999971</v>
      </c>
      <c r="P114" s="11"/>
      <c r="S114" s="107"/>
      <c r="T114" s="181"/>
      <c r="U114" s="181"/>
      <c r="V114" s="181"/>
      <c r="W114" s="181"/>
      <c r="X114" s="181"/>
      <c r="Y114" s="181"/>
      <c r="Z114" s="181"/>
      <c r="AA114" s="181"/>
      <c r="AB114" s="181"/>
      <c r="AC114" s="181"/>
      <c r="AD114" s="149"/>
      <c r="AE114" s="149"/>
      <c r="AF114" s="11"/>
      <c r="AI114" s="107"/>
      <c r="AJ114" s="181"/>
      <c r="AK114" s="181"/>
      <c r="AL114" s="181"/>
      <c r="AM114" s="181"/>
      <c r="AN114" s="181"/>
      <c r="AO114" s="181"/>
      <c r="AP114" s="181"/>
      <c r="AQ114" s="181"/>
      <c r="AR114" s="181"/>
      <c r="AS114" s="181"/>
      <c r="AT114" s="181"/>
      <c r="AU114" s="181"/>
      <c r="AV114" s="13"/>
      <c r="AW114" s="107"/>
      <c r="AX114" s="181"/>
      <c r="AY114" s="181"/>
      <c r="AZ114" s="181"/>
      <c r="BA114" s="181"/>
      <c r="BB114" s="181"/>
      <c r="BC114" s="181"/>
      <c r="BD114" s="181"/>
      <c r="BE114" s="181"/>
      <c r="BF114" s="181"/>
      <c r="BG114" s="181"/>
      <c r="BH114" s="181"/>
      <c r="BI114" s="181"/>
      <c r="BJ114" s="13"/>
    </row>
    <row r="115" spans="3:62">
      <c r="C115" s="124" t="s">
        <v>516</v>
      </c>
      <c r="D115" s="165">
        <f t="shared" ref="D115:M115" si="196">D114/D39</f>
        <v>-0.11325238417843554</v>
      </c>
      <c r="E115" s="165">
        <f t="shared" si="196"/>
        <v>8.620650720030576E-2</v>
      </c>
      <c r="F115" s="165">
        <f t="shared" si="196"/>
        <v>-4.2324353481233472E-2</v>
      </c>
      <c r="G115" s="165">
        <f t="shared" si="196"/>
        <v>-0.17460747684786945</v>
      </c>
      <c r="H115" s="165">
        <f t="shared" si="196"/>
        <v>-7.1043473119142414E-2</v>
      </c>
      <c r="I115" s="165">
        <f t="shared" si="196"/>
        <v>-9.3025762267347489E-2</v>
      </c>
      <c r="J115" s="165">
        <f t="shared" si="196"/>
        <v>-8.158570685114018E-2</v>
      </c>
      <c r="K115" s="165">
        <f t="shared" si="196"/>
        <v>-2.6722413900899654E-2</v>
      </c>
      <c r="L115" s="165">
        <f t="shared" si="196"/>
        <v>-0.43653693627590062</v>
      </c>
      <c r="M115" s="165">
        <f t="shared" si="196"/>
        <v>-0.27953282127663714</v>
      </c>
      <c r="N115" s="165">
        <f t="shared" ref="N115:O115" si="197">N114/N39</f>
        <v>-0.19340612094594339</v>
      </c>
      <c r="O115" s="165">
        <f t="shared" si="197"/>
        <v>7.3978191213591796E-2</v>
      </c>
      <c r="P115" s="11"/>
      <c r="S115" s="128"/>
      <c r="T115" s="181"/>
      <c r="U115" s="181"/>
      <c r="V115" s="181"/>
      <c r="W115" s="181"/>
      <c r="X115" s="181"/>
      <c r="Y115" s="181"/>
      <c r="Z115" s="181"/>
      <c r="AA115" s="181"/>
      <c r="AB115" s="181"/>
      <c r="AC115" s="181"/>
      <c r="AD115" s="149"/>
      <c r="AE115" s="149"/>
      <c r="AF115" s="11"/>
      <c r="AI115" s="128"/>
      <c r="AJ115" s="181"/>
      <c r="AK115" s="181"/>
      <c r="AL115" s="181"/>
      <c r="AM115" s="181"/>
      <c r="AN115" s="181"/>
      <c r="AO115" s="181"/>
      <c r="AP115" s="181"/>
      <c r="AQ115" s="181"/>
      <c r="AR115" s="181"/>
      <c r="AS115" s="181"/>
      <c r="AT115" s="181"/>
      <c r="AU115" s="181"/>
      <c r="AV115" s="13"/>
      <c r="AW115" s="128"/>
      <c r="AX115" s="181"/>
      <c r="AY115" s="181"/>
      <c r="AZ115" s="181"/>
      <c r="BA115" s="181"/>
      <c r="BB115" s="181"/>
      <c r="BC115" s="181"/>
      <c r="BD115" s="181"/>
      <c r="BE115" s="181"/>
      <c r="BF115" s="181"/>
      <c r="BG115" s="181"/>
      <c r="BH115" s="181"/>
      <c r="BI115" s="181"/>
      <c r="BJ115" s="13"/>
    </row>
    <row r="116" spans="3:62">
      <c r="C116" s="108" t="s">
        <v>673</v>
      </c>
      <c r="D116" s="164">
        <f>D114</f>
        <v>-13039.199999999997</v>
      </c>
      <c r="E116" s="164">
        <f t="shared" ref="E116:J116" si="198">D116+E114</f>
        <v>-3113.8999999999942</v>
      </c>
      <c r="F116" s="164">
        <f t="shared" si="198"/>
        <v>-9202.7999999999884</v>
      </c>
      <c r="G116" s="164">
        <f t="shared" si="198"/>
        <v>-73752.599999999977</v>
      </c>
      <c r="H116" s="164">
        <f t="shared" si="198"/>
        <v>-120850.69999999995</v>
      </c>
      <c r="I116" s="164">
        <f t="shared" si="198"/>
        <v>-218038.89999999991</v>
      </c>
      <c r="J116" s="164">
        <f t="shared" si="198"/>
        <v>-312539.19999999995</v>
      </c>
      <c r="K116" s="164">
        <f>J116+K114</f>
        <v>-338525.69999999995</v>
      </c>
      <c r="L116" s="164">
        <f>K116+L114</f>
        <v>-669312</v>
      </c>
      <c r="M116" s="164">
        <f>L116+M114</f>
        <v>-784169.8</v>
      </c>
      <c r="N116" s="164">
        <f>M116+N114</f>
        <v>-824296</v>
      </c>
      <c r="O116" s="164">
        <f>N116+O114</f>
        <v>-815591.8</v>
      </c>
      <c r="P116" s="11"/>
      <c r="S116" s="107"/>
      <c r="T116" s="181"/>
      <c r="U116" s="181"/>
      <c r="V116" s="181"/>
      <c r="W116" s="181"/>
      <c r="X116" s="181"/>
      <c r="Y116" s="181"/>
      <c r="Z116" s="181"/>
      <c r="AA116" s="181"/>
      <c r="AB116" s="181"/>
      <c r="AC116" s="181"/>
      <c r="AD116" s="149"/>
      <c r="AE116" s="149"/>
      <c r="AF116" s="11"/>
      <c r="AI116" s="107"/>
      <c r="AJ116" s="181"/>
      <c r="AK116" s="181"/>
      <c r="AL116" s="181"/>
      <c r="AM116" s="181"/>
      <c r="AN116" s="181"/>
      <c r="AO116" s="181"/>
      <c r="AP116" s="181"/>
      <c r="AQ116" s="181"/>
      <c r="AR116" s="181"/>
      <c r="AS116" s="181"/>
      <c r="AT116" s="181"/>
      <c r="AU116" s="181"/>
      <c r="AV116" s="13"/>
      <c r="AW116" s="107"/>
      <c r="AX116" s="181"/>
      <c r="AY116" s="181"/>
      <c r="AZ116" s="181"/>
      <c r="BA116" s="181"/>
      <c r="BB116" s="181"/>
      <c r="BC116" s="181"/>
      <c r="BD116" s="181"/>
      <c r="BE116" s="181"/>
      <c r="BF116" s="181"/>
      <c r="BG116" s="181"/>
      <c r="BH116" s="181"/>
      <c r="BI116" s="181"/>
      <c r="BJ116" s="13"/>
    </row>
    <row r="117" spans="3:62">
      <c r="C117" s="128" t="s">
        <v>674</v>
      </c>
      <c r="D117" s="280">
        <f t="shared" ref="D117:M117" si="199">D116/D40</f>
        <v>-0.11325238417843554</v>
      </c>
      <c r="E117" s="280">
        <f t="shared" si="199"/>
        <v>-1.3522938489064891E-2</v>
      </c>
      <c r="F117" s="280">
        <f t="shared" si="199"/>
        <v>-2.4597814454196204E-2</v>
      </c>
      <c r="G117" s="280">
        <f t="shared" si="199"/>
        <v>-9.9154360755885837E-2</v>
      </c>
      <c r="H117" s="280">
        <f t="shared" si="199"/>
        <v>-8.5906900064801187E-2</v>
      </c>
      <c r="I117" s="280">
        <f t="shared" si="199"/>
        <v>-8.8940703695675347E-2</v>
      </c>
      <c r="J117" s="280">
        <f t="shared" si="199"/>
        <v>-8.658067084761456E-2</v>
      </c>
      <c r="K117" s="280">
        <f t="shared" si="199"/>
        <v>-7.387738576924481E-2</v>
      </c>
      <c r="L117" s="280">
        <f t="shared" si="199"/>
        <v>-0.12533896907259739</v>
      </c>
      <c r="M117" s="280">
        <f t="shared" si="199"/>
        <v>-0.13913465698153746</v>
      </c>
      <c r="N117" s="280">
        <f t="shared" ref="N117:O117" si="200">N116/N40</f>
        <v>-0.14106153745740196</v>
      </c>
      <c r="O117" s="280">
        <f t="shared" si="200"/>
        <v>-0.13681718296157358</v>
      </c>
      <c r="P117" s="11"/>
      <c r="S117" s="128"/>
      <c r="T117" s="181"/>
      <c r="U117" s="181"/>
      <c r="V117" s="181"/>
      <c r="W117" s="181"/>
      <c r="X117" s="181"/>
      <c r="Y117" s="181"/>
      <c r="Z117" s="181"/>
      <c r="AA117" s="181"/>
      <c r="AB117" s="181"/>
      <c r="AC117" s="181"/>
      <c r="AD117" s="149"/>
      <c r="AE117" s="149"/>
      <c r="AF117" s="11"/>
      <c r="AI117" s="128"/>
      <c r="AJ117" s="181"/>
      <c r="AK117" s="181"/>
      <c r="AL117" s="181"/>
      <c r="AM117" s="181"/>
      <c r="AN117" s="181"/>
      <c r="AO117" s="181"/>
      <c r="AP117" s="181"/>
      <c r="AQ117" s="181"/>
      <c r="AR117" s="181"/>
      <c r="AS117" s="181"/>
      <c r="AT117" s="181"/>
      <c r="AU117" s="181"/>
      <c r="AV117" s="13"/>
      <c r="AW117" s="128"/>
      <c r="AX117" s="181"/>
      <c r="AY117" s="181"/>
      <c r="AZ117" s="181"/>
      <c r="BA117" s="181"/>
      <c r="BB117" s="181"/>
      <c r="BC117" s="181"/>
      <c r="BD117" s="181"/>
      <c r="BE117" s="181"/>
      <c r="BF117" s="181"/>
      <c r="BG117" s="181"/>
      <c r="BH117" s="181"/>
      <c r="BI117" s="181"/>
      <c r="BJ117" s="13"/>
    </row>
    <row r="118" spans="3:62">
      <c r="C118" s="108" t="s">
        <v>517</v>
      </c>
      <c r="D118" s="164">
        <f t="shared" ref="D118:L118" si="201">D75-D39</f>
        <v>-13039.199999999997</v>
      </c>
      <c r="E118" s="164">
        <f t="shared" si="201"/>
        <v>9925.3000000000029</v>
      </c>
      <c r="F118" s="164">
        <f t="shared" si="201"/>
        <v>-6088.8999999999942</v>
      </c>
      <c r="G118" s="164">
        <f t="shared" si="201"/>
        <v>-86531.6705922166</v>
      </c>
      <c r="H118" s="164">
        <f t="shared" si="201"/>
        <v>4793.6174999999348</v>
      </c>
      <c r="I118" s="164">
        <f t="shared" si="201"/>
        <v>-10344.698196625919</v>
      </c>
      <c r="J118" s="164">
        <f t="shared" si="201"/>
        <v>-59289.954111922067</v>
      </c>
      <c r="K118" s="164">
        <f t="shared" si="201"/>
        <v>-6578.6968627449824</v>
      </c>
      <c r="L118" s="164">
        <f t="shared" si="201"/>
        <v>-62482.925214592251</v>
      </c>
      <c r="M118" s="164">
        <f>M75-M73</f>
        <v>-14139.854054054071</v>
      </c>
      <c r="N118" s="164">
        <f>N75-N73</f>
        <v>0</v>
      </c>
      <c r="O118" s="164">
        <f>O75-O73</f>
        <v>0</v>
      </c>
      <c r="P118" s="11"/>
      <c r="S118" s="107"/>
      <c r="T118" s="181"/>
      <c r="U118" s="181"/>
      <c r="V118" s="181"/>
      <c r="W118" s="181"/>
      <c r="X118" s="181"/>
      <c r="Y118" s="181"/>
      <c r="Z118" s="181"/>
      <c r="AA118" s="181"/>
      <c r="AB118" s="181"/>
      <c r="AC118" s="181"/>
      <c r="AD118" s="149"/>
      <c r="AE118" s="149"/>
      <c r="AF118" s="11"/>
      <c r="AI118" s="107"/>
      <c r="AJ118" s="181"/>
      <c r="AK118" s="181"/>
      <c r="AL118" s="181"/>
      <c r="AM118" s="181"/>
      <c r="AN118" s="181"/>
      <c r="AO118" s="181"/>
      <c r="AP118" s="181"/>
      <c r="AQ118" s="181"/>
      <c r="AR118" s="181"/>
      <c r="AS118" s="181"/>
      <c r="AT118" s="181"/>
      <c r="AU118" s="181"/>
      <c r="AV118" s="13"/>
      <c r="AW118" s="107"/>
      <c r="AX118" s="181"/>
      <c r="AY118" s="181"/>
      <c r="AZ118" s="181"/>
      <c r="BA118" s="181"/>
      <c r="BB118" s="181"/>
      <c r="BC118" s="181"/>
      <c r="BD118" s="181"/>
      <c r="BE118" s="181"/>
      <c r="BF118" s="181"/>
      <c r="BG118" s="181"/>
      <c r="BH118" s="181"/>
      <c r="BI118" s="181"/>
      <c r="BJ118" s="13"/>
    </row>
    <row r="119" spans="3:62">
      <c r="C119" s="124" t="s">
        <v>518</v>
      </c>
      <c r="D119" s="165">
        <f t="shared" ref="D119:L119" si="202">D118/D39</f>
        <v>-0.11325238417843554</v>
      </c>
      <c r="E119" s="165">
        <f t="shared" si="202"/>
        <v>8.620650720030576E-2</v>
      </c>
      <c r="F119" s="165">
        <f t="shared" si="202"/>
        <v>-4.2324353481233472E-2</v>
      </c>
      <c r="G119" s="165">
        <f t="shared" si="202"/>
        <v>-0.23406852801306788</v>
      </c>
      <c r="H119" s="165">
        <f t="shared" si="202"/>
        <v>7.2307637888725067E-3</v>
      </c>
      <c r="I119" s="165">
        <f t="shared" si="202"/>
        <v>-9.9016489158846605E-3</v>
      </c>
      <c r="J119" s="165">
        <f t="shared" si="202"/>
        <v>-5.1187274700639308E-2</v>
      </c>
      <c r="K119" s="165">
        <f t="shared" si="202"/>
        <v>-6.764999538022491E-3</v>
      </c>
      <c r="L119" s="165">
        <f t="shared" si="202"/>
        <v>-8.2458387009178805E-2</v>
      </c>
      <c r="M119" s="165">
        <f>M118/M73</f>
        <v>-4.7764258501396359E-2</v>
      </c>
      <c r="N119" s="165">
        <f>N118/N73</f>
        <v>0</v>
      </c>
      <c r="O119" s="165">
        <f>O118/O73</f>
        <v>0</v>
      </c>
      <c r="P119" s="11"/>
      <c r="S119" s="128"/>
      <c r="T119" s="181"/>
      <c r="U119" s="181"/>
      <c r="V119" s="181"/>
      <c r="W119" s="181"/>
      <c r="X119" s="181"/>
      <c r="Y119" s="181"/>
      <c r="Z119" s="181"/>
      <c r="AA119" s="181"/>
      <c r="AB119" s="181"/>
      <c r="AC119" s="181"/>
      <c r="AD119" s="149"/>
      <c r="AE119" s="149"/>
      <c r="AF119" s="11"/>
      <c r="AI119" s="128"/>
      <c r="AJ119" s="181"/>
      <c r="AK119" s="181"/>
      <c r="AL119" s="181"/>
      <c r="AM119" s="181"/>
      <c r="AN119" s="181"/>
      <c r="AO119" s="181"/>
      <c r="AP119" s="181"/>
      <c r="AQ119" s="181"/>
      <c r="AR119" s="181"/>
      <c r="AS119" s="181"/>
      <c r="AT119" s="181"/>
      <c r="AU119" s="181"/>
      <c r="AV119" s="13"/>
      <c r="AW119" s="128"/>
      <c r="AX119" s="181"/>
      <c r="AY119" s="181"/>
      <c r="AZ119" s="181"/>
      <c r="BA119" s="181"/>
      <c r="BB119" s="181"/>
      <c r="BC119" s="181"/>
      <c r="BD119" s="181"/>
      <c r="BE119" s="181"/>
      <c r="BF119" s="181"/>
      <c r="BG119" s="181"/>
      <c r="BH119" s="181"/>
      <c r="BI119" s="181"/>
      <c r="BJ119" s="13"/>
    </row>
    <row r="120" spans="3:62">
      <c r="C120" s="108" t="s">
        <v>675</v>
      </c>
      <c r="D120" s="164">
        <f>D118</f>
        <v>-13039.199999999997</v>
      </c>
      <c r="E120" s="164">
        <f t="shared" ref="E120:J120" si="203">D120+E118</f>
        <v>-3113.8999999999942</v>
      </c>
      <c r="F120" s="164">
        <f t="shared" si="203"/>
        <v>-9202.7999999999884</v>
      </c>
      <c r="G120" s="164">
        <f t="shared" si="203"/>
        <v>-95734.470592216589</v>
      </c>
      <c r="H120" s="164">
        <f t="shared" si="203"/>
        <v>-90940.853092216654</v>
      </c>
      <c r="I120" s="164">
        <f t="shared" si="203"/>
        <v>-101285.55128884257</v>
      </c>
      <c r="J120" s="164">
        <f t="shared" si="203"/>
        <v>-160575.50540076464</v>
      </c>
      <c r="K120" s="164">
        <f>J120+K118</f>
        <v>-167154.20226350962</v>
      </c>
      <c r="L120" s="164">
        <f>K120+L118</f>
        <v>-229637.12747810187</v>
      </c>
      <c r="M120" s="164">
        <f>L120+M118</f>
        <v>-243776.98153215594</v>
      </c>
      <c r="N120" s="164">
        <f>M120+N118</f>
        <v>-243776.98153215594</v>
      </c>
      <c r="O120" s="164">
        <f>N120+O118</f>
        <v>-243776.98153215594</v>
      </c>
      <c r="P120" s="11"/>
      <c r="S120" s="107"/>
      <c r="T120" s="181"/>
      <c r="U120" s="181"/>
      <c r="V120" s="181"/>
      <c r="W120" s="181"/>
      <c r="X120" s="181"/>
      <c r="Y120" s="181"/>
      <c r="Z120" s="181"/>
      <c r="AA120" s="181"/>
      <c r="AB120" s="181"/>
      <c r="AC120" s="181"/>
      <c r="AD120" s="149"/>
      <c r="AE120" s="149"/>
      <c r="AF120" s="11"/>
      <c r="AI120" s="107"/>
      <c r="AJ120" s="181"/>
      <c r="AK120" s="181"/>
      <c r="AL120" s="181"/>
      <c r="AM120" s="181"/>
      <c r="AN120" s="181"/>
      <c r="AO120" s="181"/>
      <c r="AP120" s="181"/>
      <c r="AQ120" s="181"/>
      <c r="AR120" s="181"/>
      <c r="AS120" s="181"/>
      <c r="AT120" s="181"/>
      <c r="AU120" s="181"/>
      <c r="AV120" s="13"/>
      <c r="AW120" s="107"/>
      <c r="AX120" s="181"/>
      <c r="AY120" s="181"/>
      <c r="AZ120" s="181"/>
      <c r="BA120" s="181"/>
      <c r="BB120" s="181"/>
      <c r="BC120" s="181"/>
      <c r="BD120" s="181"/>
      <c r="BE120" s="181"/>
      <c r="BF120" s="181"/>
      <c r="BG120" s="181"/>
      <c r="BH120" s="181"/>
      <c r="BI120" s="181"/>
      <c r="BJ120" s="13"/>
    </row>
    <row r="121" spans="3:62">
      <c r="C121" s="128" t="s">
        <v>676</v>
      </c>
      <c r="D121" s="280">
        <f t="shared" ref="D121:M121" si="204">D120/D40</f>
        <v>-0.11325238417843554</v>
      </c>
      <c r="E121" s="280">
        <f t="shared" si="204"/>
        <v>-1.3522938489064891E-2</v>
      </c>
      <c r="F121" s="280">
        <f t="shared" si="204"/>
        <v>-2.4597814454196204E-2</v>
      </c>
      <c r="G121" s="280">
        <f t="shared" si="204"/>
        <v>-0.12870719451076151</v>
      </c>
      <c r="H121" s="280">
        <f t="shared" si="204"/>
        <v>-6.4645440848922056E-2</v>
      </c>
      <c r="I121" s="280">
        <f t="shared" si="204"/>
        <v>-4.131560105024415E-2</v>
      </c>
      <c r="J121" s="280">
        <f t="shared" si="204"/>
        <v>-4.4483171964646226E-2</v>
      </c>
      <c r="K121" s="280">
        <f t="shared" si="204"/>
        <v>-3.64785169444201E-2</v>
      </c>
      <c r="L121" s="280">
        <f t="shared" si="204"/>
        <v>-4.3003084987117988E-2</v>
      </c>
      <c r="M121" s="280">
        <f t="shared" si="204"/>
        <v>-4.3253166221743182E-2</v>
      </c>
      <c r="N121" s="280">
        <f t="shared" ref="N121:O121" si="205">N120/N40</f>
        <v>-4.1717484752625995E-2</v>
      </c>
      <c r="O121" s="280">
        <f t="shared" si="205"/>
        <v>-4.0894084374199349E-2</v>
      </c>
      <c r="P121" s="11"/>
      <c r="S121" s="128"/>
      <c r="T121" s="181"/>
      <c r="U121" s="181"/>
      <c r="V121" s="181"/>
      <c r="W121" s="181"/>
      <c r="X121" s="181"/>
      <c r="Y121" s="181"/>
      <c r="Z121" s="181"/>
      <c r="AA121" s="181"/>
      <c r="AB121" s="181"/>
      <c r="AC121" s="181"/>
      <c r="AD121" s="149"/>
      <c r="AE121" s="149"/>
      <c r="AF121" s="11"/>
      <c r="AI121" s="128"/>
      <c r="AJ121" s="181"/>
      <c r="AK121" s="181"/>
      <c r="AL121" s="181"/>
      <c r="AM121" s="181"/>
      <c r="AN121" s="181"/>
      <c r="AO121" s="181"/>
      <c r="AP121" s="181"/>
      <c r="AQ121" s="181"/>
      <c r="AR121" s="181"/>
      <c r="AS121" s="181"/>
      <c r="AT121" s="181"/>
      <c r="AU121" s="181"/>
      <c r="AV121" s="13"/>
      <c r="AW121" s="128"/>
      <c r="AX121" s="181"/>
      <c r="AY121" s="181"/>
      <c r="AZ121" s="181"/>
      <c r="BA121" s="181"/>
      <c r="BB121" s="181"/>
      <c r="BC121" s="181"/>
      <c r="BD121" s="181"/>
      <c r="BE121" s="181"/>
      <c r="BF121" s="181"/>
      <c r="BG121" s="181"/>
      <c r="BH121" s="181"/>
      <c r="BI121" s="181"/>
      <c r="BJ121" s="13"/>
    </row>
    <row r="122" spans="3:62">
      <c r="C122" s="108" t="s">
        <v>520</v>
      </c>
      <c r="D122" s="164">
        <f t="shared" ref="D122:M122" si="206">D77-D44</f>
        <v>-7871.3000000000029</v>
      </c>
      <c r="E122" s="164">
        <f t="shared" si="206"/>
        <v>-837.10000000000582</v>
      </c>
      <c r="F122" s="164">
        <f t="shared" si="206"/>
        <v>515.80000000000291</v>
      </c>
      <c r="G122" s="164">
        <f t="shared" si="206"/>
        <v>-44888.600000000006</v>
      </c>
      <c r="H122" s="164">
        <f t="shared" si="206"/>
        <v>-41408.799999999988</v>
      </c>
      <c r="I122" s="164">
        <f t="shared" si="206"/>
        <v>-87190.450000000012</v>
      </c>
      <c r="J122" s="164">
        <f t="shared" si="206"/>
        <v>-57404.200000000012</v>
      </c>
      <c r="K122" s="164">
        <f t="shared" si="206"/>
        <v>-24428.899999999965</v>
      </c>
      <c r="L122" s="164">
        <f t="shared" si="206"/>
        <v>-113706.85</v>
      </c>
      <c r="M122" s="164">
        <f t="shared" si="206"/>
        <v>-44105.399999999994</v>
      </c>
      <c r="N122" s="164">
        <f t="shared" ref="N122:O122" si="207">N77-N44</f>
        <v>-10253</v>
      </c>
      <c r="O122" s="164">
        <f t="shared" si="207"/>
        <v>-3284.0500000000029</v>
      </c>
      <c r="P122" s="11"/>
      <c r="S122" s="107"/>
      <c r="T122" s="181"/>
      <c r="U122" s="181"/>
      <c r="V122" s="181"/>
      <c r="W122" s="181"/>
      <c r="X122" s="181"/>
      <c r="Y122" s="181"/>
      <c r="Z122" s="181"/>
      <c r="AA122" s="181"/>
      <c r="AB122" s="181"/>
      <c r="AC122" s="181"/>
      <c r="AD122" s="149"/>
      <c r="AE122" s="149"/>
      <c r="AF122" s="11"/>
      <c r="AI122" s="107"/>
      <c r="AJ122" s="181"/>
      <c r="AK122" s="181"/>
      <c r="AL122" s="181"/>
      <c r="AM122" s="181"/>
      <c r="AN122" s="181"/>
      <c r="AO122" s="181"/>
      <c r="AP122" s="181"/>
      <c r="AQ122" s="181"/>
      <c r="AR122" s="181"/>
      <c r="AS122" s="181"/>
      <c r="AT122" s="181"/>
      <c r="AU122" s="181"/>
      <c r="AV122" s="13"/>
      <c r="AW122" s="107"/>
      <c r="AX122" s="181"/>
      <c r="AY122" s="181"/>
      <c r="AZ122" s="181"/>
      <c r="BA122" s="181"/>
      <c r="BB122" s="181"/>
      <c r="BC122" s="181"/>
      <c r="BD122" s="181"/>
      <c r="BE122" s="181"/>
      <c r="BF122" s="181"/>
      <c r="BG122" s="181"/>
      <c r="BH122" s="181"/>
      <c r="BI122" s="181"/>
      <c r="BJ122" s="13"/>
    </row>
    <row r="123" spans="3:62">
      <c r="C123" s="124" t="s">
        <v>521</v>
      </c>
      <c r="D123" s="165">
        <f t="shared" ref="D123:M123" si="208">D122/D44</f>
        <v>-9.3384664665614764E-2</v>
      </c>
      <c r="E123" s="165">
        <f t="shared" si="208"/>
        <v>-9.9313077625788164E-3</v>
      </c>
      <c r="F123" s="165">
        <f t="shared" si="208"/>
        <v>5.4994439782794658E-3</v>
      </c>
      <c r="G123" s="165">
        <f t="shared" si="208"/>
        <v>-0.24913308528398395</v>
      </c>
      <c r="H123" s="165">
        <f t="shared" si="208"/>
        <v>-0.14311858241792041</v>
      </c>
      <c r="I123" s="165">
        <f t="shared" si="208"/>
        <v>-0.20067943874952893</v>
      </c>
      <c r="J123" s="165">
        <f t="shared" si="208"/>
        <v>-0.12028099271913219</v>
      </c>
      <c r="K123" s="165">
        <f t="shared" si="208"/>
        <v>-6.0574509257431602E-2</v>
      </c>
      <c r="L123" s="165">
        <f t="shared" si="208"/>
        <v>-0.34840420112772597</v>
      </c>
      <c r="M123" s="165">
        <f t="shared" si="208"/>
        <v>-0.22690063894805071</v>
      </c>
      <c r="N123" s="165">
        <f t="shared" ref="N123:O123" si="209">N122/N44</f>
        <v>-8.6107058964817296E-2</v>
      </c>
      <c r="O123" s="165">
        <f t="shared" si="209"/>
        <v>-3.9132986376947197E-2</v>
      </c>
      <c r="P123" s="11"/>
      <c r="S123" s="128"/>
      <c r="T123" s="181"/>
      <c r="U123" s="181"/>
      <c r="V123" s="181"/>
      <c r="W123" s="181"/>
      <c r="X123" s="181"/>
      <c r="Y123" s="181"/>
      <c r="Z123" s="181"/>
      <c r="AA123" s="181"/>
      <c r="AB123" s="181"/>
      <c r="AC123" s="181"/>
      <c r="AD123" s="149"/>
      <c r="AE123" s="149"/>
      <c r="AF123" s="11"/>
      <c r="AI123" s="128"/>
      <c r="AJ123" s="181"/>
      <c r="AK123" s="181"/>
      <c r="AL123" s="181"/>
      <c r="AM123" s="181"/>
      <c r="AN123" s="181"/>
      <c r="AO123" s="181"/>
      <c r="AP123" s="181"/>
      <c r="AQ123" s="181"/>
      <c r="AR123" s="181"/>
      <c r="AS123" s="181"/>
      <c r="AT123" s="181"/>
      <c r="AU123" s="181"/>
      <c r="AV123" s="13"/>
      <c r="AW123" s="128"/>
      <c r="AX123" s="181"/>
      <c r="AY123" s="181"/>
      <c r="AZ123" s="181"/>
      <c r="BA123" s="181"/>
      <c r="BB123" s="181"/>
      <c r="BC123" s="181"/>
      <c r="BD123" s="181"/>
      <c r="BE123" s="181"/>
      <c r="BF123" s="181"/>
      <c r="BG123" s="181"/>
      <c r="BH123" s="181"/>
      <c r="BI123" s="181"/>
      <c r="BJ123" s="13"/>
    </row>
    <row r="124" spans="3:62">
      <c r="C124" s="108" t="s">
        <v>677</v>
      </c>
      <c r="D124" s="164">
        <f>D122</f>
        <v>-7871.3000000000029</v>
      </c>
      <c r="E124" s="164">
        <f t="shared" ref="E124:J124" si="210">D124+E122</f>
        <v>-8708.4000000000087</v>
      </c>
      <c r="F124" s="164">
        <f t="shared" si="210"/>
        <v>-8192.6000000000058</v>
      </c>
      <c r="G124" s="164">
        <f t="shared" si="210"/>
        <v>-53081.200000000012</v>
      </c>
      <c r="H124" s="164">
        <f t="shared" si="210"/>
        <v>-94490</v>
      </c>
      <c r="I124" s="164">
        <f t="shared" si="210"/>
        <v>-181680.45</v>
      </c>
      <c r="J124" s="164">
        <f t="shared" si="210"/>
        <v>-239084.65000000002</v>
      </c>
      <c r="K124" s="164">
        <f>J124+K122</f>
        <v>-263513.55</v>
      </c>
      <c r="L124" s="164">
        <f>K124+L122</f>
        <v>-377220.4</v>
      </c>
      <c r="M124" s="164">
        <f>L124+M122</f>
        <v>-421325.80000000005</v>
      </c>
      <c r="N124" s="164">
        <f>M124+N122</f>
        <v>-431578.80000000005</v>
      </c>
      <c r="O124" s="164">
        <f>N124+O122</f>
        <v>-434862.85000000003</v>
      </c>
      <c r="P124" s="11"/>
      <c r="S124" s="107"/>
      <c r="T124" s="181"/>
      <c r="U124" s="181"/>
      <c r="V124" s="181"/>
      <c r="W124" s="181"/>
      <c r="X124" s="181"/>
      <c r="Y124" s="181"/>
      <c r="Z124" s="181"/>
      <c r="AA124" s="181"/>
      <c r="AB124" s="181"/>
      <c r="AC124" s="181"/>
      <c r="AD124" s="149"/>
      <c r="AE124" s="149"/>
      <c r="AF124" s="11"/>
      <c r="AI124" s="107"/>
      <c r="AJ124" s="181"/>
      <c r="AK124" s="181"/>
      <c r="AL124" s="181"/>
      <c r="AM124" s="181"/>
      <c r="AN124" s="181"/>
      <c r="AO124" s="181"/>
      <c r="AP124" s="181"/>
      <c r="AQ124" s="181"/>
      <c r="AR124" s="181"/>
      <c r="AS124" s="181"/>
      <c r="AT124" s="181"/>
      <c r="AU124" s="181"/>
      <c r="AV124" s="13"/>
      <c r="AW124" s="107"/>
      <c r="AX124" s="181"/>
      <c r="AY124" s="181"/>
      <c r="AZ124" s="181"/>
      <c r="BA124" s="181"/>
      <c r="BB124" s="181"/>
      <c r="BC124" s="181"/>
      <c r="BD124" s="181"/>
      <c r="BE124" s="181"/>
      <c r="BF124" s="181"/>
      <c r="BG124" s="181"/>
      <c r="BH124" s="181"/>
      <c r="BI124" s="181"/>
      <c r="BJ124" s="13"/>
    </row>
    <row r="125" spans="3:62">
      <c r="C125" s="128" t="s">
        <v>678</v>
      </c>
      <c r="D125" s="280">
        <f t="shared" ref="D125:M125" si="211">D124/D45</f>
        <v>-9.3384664665614764E-2</v>
      </c>
      <c r="E125" s="280">
        <f t="shared" si="211"/>
        <v>-5.1657986214096792E-2</v>
      </c>
      <c r="F125" s="280">
        <f t="shared" si="211"/>
        <v>-3.1225452063179671E-2</v>
      </c>
      <c r="G125" s="280">
        <f t="shared" si="211"/>
        <v>-0.11994436767947471</v>
      </c>
      <c r="H125" s="280">
        <f t="shared" si="211"/>
        <v>-0.12910575850760356</v>
      </c>
      <c r="I125" s="280">
        <f t="shared" si="211"/>
        <v>-0.15576746516299877</v>
      </c>
      <c r="J125" s="280">
        <f t="shared" si="211"/>
        <v>-0.1454633348780045</v>
      </c>
      <c r="K125" s="280">
        <f t="shared" si="211"/>
        <v>-0.12873822096688961</v>
      </c>
      <c r="L125" s="280">
        <f t="shared" si="211"/>
        <v>-0.15894614460991027</v>
      </c>
      <c r="M125" s="280">
        <f t="shared" si="211"/>
        <v>-0.16409060580582677</v>
      </c>
      <c r="N125" s="280">
        <f t="shared" ref="N125:O125" si="212">N124/N45</f>
        <v>-0.16063444641426092</v>
      </c>
      <c r="O125" s="280">
        <f t="shared" si="212"/>
        <v>-0.15695426622818462</v>
      </c>
      <c r="P125" s="11"/>
      <c r="S125" s="128"/>
      <c r="T125" s="181"/>
      <c r="U125" s="181"/>
      <c r="V125" s="181"/>
      <c r="W125" s="181"/>
      <c r="X125" s="181"/>
      <c r="Y125" s="181"/>
      <c r="Z125" s="181"/>
      <c r="AA125" s="181"/>
      <c r="AB125" s="181"/>
      <c r="AC125" s="181"/>
      <c r="AD125" s="149"/>
      <c r="AE125" s="149"/>
      <c r="AF125" s="11"/>
      <c r="AI125" s="128"/>
      <c r="AJ125" s="181"/>
      <c r="AK125" s="181"/>
      <c r="AL125" s="181"/>
      <c r="AM125" s="181"/>
      <c r="AN125" s="181"/>
      <c r="AO125" s="181"/>
      <c r="AP125" s="181"/>
      <c r="AQ125" s="181"/>
      <c r="AR125" s="181"/>
      <c r="AS125" s="181"/>
      <c r="AT125" s="181"/>
      <c r="AU125" s="181"/>
      <c r="AV125" s="13"/>
      <c r="AW125" s="128"/>
      <c r="AX125" s="181"/>
      <c r="AY125" s="181"/>
      <c r="AZ125" s="181"/>
      <c r="BA125" s="181"/>
      <c r="BB125" s="181"/>
      <c r="BC125" s="181"/>
      <c r="BD125" s="181"/>
      <c r="BE125" s="181"/>
      <c r="BF125" s="181"/>
      <c r="BG125" s="181"/>
      <c r="BH125" s="181"/>
      <c r="BI125" s="181"/>
      <c r="BJ125" s="13"/>
    </row>
    <row r="126" spans="3:62">
      <c r="C126" s="108" t="s">
        <v>522</v>
      </c>
      <c r="D126" s="164">
        <f t="shared" ref="D126:M126" si="213">D79-D44</f>
        <v>-7871.3000000000029</v>
      </c>
      <c r="E126" s="164">
        <f t="shared" si="213"/>
        <v>-837.10000000000582</v>
      </c>
      <c r="F126" s="164">
        <f t="shared" si="213"/>
        <v>515.80000000000291</v>
      </c>
      <c r="G126" s="164">
        <f t="shared" si="213"/>
        <v>-50946.136988155675</v>
      </c>
      <c r="H126" s="164">
        <f t="shared" si="213"/>
        <v>-24273.038</v>
      </c>
      <c r="I126" s="164">
        <f t="shared" si="213"/>
        <v>-59582.676774287422</v>
      </c>
      <c r="J126" s="164">
        <f t="shared" si="213"/>
        <v>-44879.968681265193</v>
      </c>
      <c r="K126" s="164">
        <f t="shared" si="213"/>
        <v>-17508.139215686242</v>
      </c>
      <c r="L126" s="164">
        <f t="shared" si="213"/>
        <v>-1285.6257510729483</v>
      </c>
      <c r="M126" s="164">
        <f t="shared" si="213"/>
        <v>-49420.348648648651</v>
      </c>
      <c r="N126" s="164">
        <f t="shared" ref="N126:O126" si="214">N79-N44</f>
        <v>-10253</v>
      </c>
      <c r="O126" s="164">
        <f t="shared" si="214"/>
        <v>-3284.0500000000029</v>
      </c>
      <c r="P126" s="11"/>
      <c r="S126" s="107"/>
      <c r="T126" s="181"/>
      <c r="U126" s="181"/>
      <c r="V126" s="181"/>
      <c r="W126" s="181"/>
      <c r="X126" s="181"/>
      <c r="Y126" s="181"/>
      <c r="Z126" s="181"/>
      <c r="AA126" s="181"/>
      <c r="AB126" s="181"/>
      <c r="AC126" s="181"/>
      <c r="AD126" s="149"/>
      <c r="AE126" s="149"/>
      <c r="AF126" s="11"/>
      <c r="AI126" s="107"/>
      <c r="AJ126" s="181"/>
      <c r="AK126" s="181"/>
      <c r="AL126" s="181"/>
      <c r="AM126" s="181"/>
      <c r="AN126" s="181"/>
      <c r="AO126" s="181"/>
      <c r="AP126" s="181"/>
      <c r="AQ126" s="181"/>
      <c r="AR126" s="181"/>
      <c r="AS126" s="181"/>
      <c r="AT126" s="181"/>
      <c r="AU126" s="181"/>
      <c r="AV126" s="13"/>
      <c r="AW126" s="107"/>
      <c r="AX126" s="181"/>
      <c r="AY126" s="181"/>
      <c r="AZ126" s="181"/>
      <c r="BA126" s="181"/>
      <c r="BB126" s="181"/>
      <c r="BC126" s="181"/>
      <c r="BD126" s="181"/>
      <c r="BE126" s="181"/>
      <c r="BF126" s="181"/>
      <c r="BG126" s="181"/>
      <c r="BH126" s="181"/>
      <c r="BI126" s="181"/>
      <c r="BJ126" s="13"/>
    </row>
    <row r="127" spans="3:62">
      <c r="C127" s="124" t="s">
        <v>523</v>
      </c>
      <c r="D127" s="165">
        <f t="shared" ref="D127:M127" si="215">D126/D44</f>
        <v>-9.3384664665614764E-2</v>
      </c>
      <c r="E127" s="165">
        <f t="shared" si="215"/>
        <v>-9.9313077625788164E-3</v>
      </c>
      <c r="F127" s="165">
        <f t="shared" si="215"/>
        <v>5.4994439782794658E-3</v>
      </c>
      <c r="G127" s="165">
        <f t="shared" si="215"/>
        <v>-0.28275259845839962</v>
      </c>
      <c r="H127" s="165">
        <f t="shared" si="215"/>
        <v>-8.3893346089148085E-2</v>
      </c>
      <c r="I127" s="165">
        <f t="shared" si="215"/>
        <v>-0.13713678658911141</v>
      </c>
      <c r="J127" s="165">
        <f t="shared" si="215"/>
        <v>-9.4038540493311257E-2</v>
      </c>
      <c r="K127" s="165">
        <f t="shared" si="215"/>
        <v>-4.34136183373377E-2</v>
      </c>
      <c r="L127" s="165">
        <f t="shared" si="215"/>
        <v>-3.9392298067513366E-3</v>
      </c>
      <c r="M127" s="165">
        <f t="shared" si="215"/>
        <v>-0.25424344151541117</v>
      </c>
      <c r="N127" s="165">
        <f t="shared" ref="N127:O127" si="216">N126/N44</f>
        <v>-8.6107058964817296E-2</v>
      </c>
      <c r="O127" s="165">
        <f t="shared" si="216"/>
        <v>-3.9132986376947197E-2</v>
      </c>
      <c r="P127" s="11"/>
      <c r="S127" s="128"/>
      <c r="T127" s="181"/>
      <c r="U127" s="181"/>
      <c r="V127" s="181"/>
      <c r="W127" s="181"/>
      <c r="X127" s="181"/>
      <c r="Y127" s="181"/>
      <c r="Z127" s="181"/>
      <c r="AA127" s="181"/>
      <c r="AB127" s="181"/>
      <c r="AC127" s="181"/>
      <c r="AD127" s="149"/>
      <c r="AE127" s="149"/>
      <c r="AF127" s="11"/>
      <c r="AI127" s="128"/>
      <c r="AJ127" s="181"/>
      <c r="AK127" s="181"/>
      <c r="AL127" s="181"/>
      <c r="AM127" s="181"/>
      <c r="AN127" s="181"/>
      <c r="AO127" s="181"/>
      <c r="AP127" s="181"/>
      <c r="AQ127" s="181"/>
      <c r="AR127" s="181"/>
      <c r="AS127" s="181"/>
      <c r="AT127" s="181"/>
      <c r="AU127" s="181"/>
      <c r="AV127" s="13"/>
      <c r="AW127" s="128"/>
      <c r="AX127" s="181"/>
      <c r="AY127" s="181"/>
      <c r="AZ127" s="181"/>
      <c r="BA127" s="181"/>
      <c r="BB127" s="181"/>
      <c r="BC127" s="181"/>
      <c r="BD127" s="181"/>
      <c r="BE127" s="181"/>
      <c r="BF127" s="181"/>
      <c r="BG127" s="181"/>
      <c r="BH127" s="181"/>
      <c r="BI127" s="181"/>
      <c r="BJ127" s="13"/>
    </row>
    <row r="128" spans="3:62">
      <c r="C128" s="108" t="s">
        <v>679</v>
      </c>
      <c r="D128" s="164">
        <f t="shared" ref="D128:I128" si="217">D126</f>
        <v>-7871.3000000000029</v>
      </c>
      <c r="E128" s="164">
        <f t="shared" si="217"/>
        <v>-837.10000000000582</v>
      </c>
      <c r="F128" s="164">
        <f t="shared" si="217"/>
        <v>515.80000000000291</v>
      </c>
      <c r="G128" s="164">
        <f t="shared" si="217"/>
        <v>-50946.136988155675</v>
      </c>
      <c r="H128" s="164">
        <f t="shared" si="217"/>
        <v>-24273.038</v>
      </c>
      <c r="I128" s="164">
        <f t="shared" si="217"/>
        <v>-59582.676774287422</v>
      </c>
      <c r="J128" s="164">
        <f t="shared" ref="J128:O128" si="218">J126</f>
        <v>-44879.968681265193</v>
      </c>
      <c r="K128" s="164">
        <f t="shared" si="218"/>
        <v>-17508.139215686242</v>
      </c>
      <c r="L128" s="164">
        <f t="shared" si="218"/>
        <v>-1285.6257510729483</v>
      </c>
      <c r="M128" s="164">
        <f t="shared" si="218"/>
        <v>-49420.348648648651</v>
      </c>
      <c r="N128" s="164">
        <f t="shared" si="218"/>
        <v>-10253</v>
      </c>
      <c r="O128" s="164">
        <f t="shared" si="218"/>
        <v>-3284.0500000000029</v>
      </c>
      <c r="P128" s="11"/>
      <c r="S128" s="107"/>
      <c r="T128" s="181"/>
      <c r="U128" s="181"/>
      <c r="V128" s="181"/>
      <c r="W128" s="181"/>
      <c r="X128" s="181"/>
      <c r="Y128" s="181"/>
      <c r="Z128" s="181"/>
      <c r="AA128" s="181"/>
      <c r="AB128" s="181"/>
      <c r="AC128" s="181"/>
      <c r="AD128" s="149"/>
      <c r="AE128" s="149"/>
      <c r="AF128" s="11"/>
      <c r="AI128" s="107"/>
      <c r="AJ128" s="181"/>
      <c r="AK128" s="181"/>
      <c r="AL128" s="181"/>
      <c r="AM128" s="181"/>
      <c r="AN128" s="181"/>
      <c r="AO128" s="181"/>
      <c r="AP128" s="181"/>
      <c r="AQ128" s="181"/>
      <c r="AR128" s="181"/>
      <c r="AS128" s="181"/>
      <c r="AT128" s="181"/>
      <c r="AU128" s="181"/>
      <c r="AV128" s="13"/>
      <c r="AW128" s="107"/>
      <c r="AX128" s="181"/>
      <c r="AY128" s="181"/>
      <c r="AZ128" s="181"/>
      <c r="BA128" s="181"/>
      <c r="BB128" s="181"/>
      <c r="BC128" s="181"/>
      <c r="BD128" s="181"/>
      <c r="BE128" s="181"/>
      <c r="BF128" s="181"/>
      <c r="BG128" s="181"/>
      <c r="BH128" s="181"/>
      <c r="BI128" s="181"/>
      <c r="BJ128" s="13"/>
    </row>
    <row r="129" spans="3:62">
      <c r="C129" s="128" t="s">
        <v>680</v>
      </c>
      <c r="D129" s="280">
        <f t="shared" ref="D129:M129" si="219">D128/D45</f>
        <v>-9.3384664665614764E-2</v>
      </c>
      <c r="E129" s="280">
        <f t="shared" si="219"/>
        <v>-4.9656538812894082E-3</v>
      </c>
      <c r="F129" s="280">
        <f t="shared" si="219"/>
        <v>1.9659312274721277E-3</v>
      </c>
      <c r="G129" s="280">
        <f t="shared" si="219"/>
        <v>-0.11511989530674191</v>
      </c>
      <c r="H129" s="280">
        <f t="shared" si="219"/>
        <v>-3.3165297727525501E-2</v>
      </c>
      <c r="I129" s="280">
        <f t="shared" si="219"/>
        <v>-5.1084431642243466E-2</v>
      </c>
      <c r="J129" s="280">
        <f t="shared" si="219"/>
        <v>-2.7305767700256924E-2</v>
      </c>
      <c r="K129" s="280">
        <f t="shared" si="219"/>
        <v>-8.553513453361623E-3</v>
      </c>
      <c r="L129" s="280">
        <f t="shared" si="219"/>
        <v>-5.4171316435766819E-4</v>
      </c>
      <c r="M129" s="280">
        <f t="shared" si="219"/>
        <v>-1.9247373289012753E-2</v>
      </c>
      <c r="N129" s="280">
        <f t="shared" ref="N129:O129" si="220">N128/N45</f>
        <v>-3.8161860107248482E-3</v>
      </c>
      <c r="O129" s="280">
        <f t="shared" si="220"/>
        <v>-1.1853062592186712E-3</v>
      </c>
      <c r="P129" s="11"/>
      <c r="S129" s="128"/>
      <c r="T129" s="181"/>
      <c r="U129" s="181"/>
      <c r="V129" s="181"/>
      <c r="W129" s="181"/>
      <c r="X129" s="181"/>
      <c r="Y129" s="181"/>
      <c r="Z129" s="181"/>
      <c r="AA129" s="181"/>
      <c r="AB129" s="181"/>
      <c r="AC129" s="181"/>
      <c r="AD129" s="149"/>
      <c r="AE129" s="149"/>
      <c r="AF129" s="11"/>
      <c r="AI129" s="128"/>
      <c r="AJ129" s="181"/>
      <c r="AK129" s="181"/>
      <c r="AL129" s="181"/>
      <c r="AM129" s="181"/>
      <c r="AN129" s="181"/>
      <c r="AO129" s="181"/>
      <c r="AP129" s="181"/>
      <c r="AQ129" s="181"/>
      <c r="AR129" s="181"/>
      <c r="AS129" s="181"/>
      <c r="AT129" s="181"/>
      <c r="AU129" s="181"/>
      <c r="AV129" s="13"/>
      <c r="AW129" s="128"/>
      <c r="AX129" s="181"/>
      <c r="AY129" s="181"/>
      <c r="AZ129" s="181"/>
      <c r="BA129" s="181"/>
      <c r="BB129" s="181"/>
      <c r="BC129" s="181"/>
      <c r="BD129" s="181"/>
      <c r="BE129" s="181"/>
      <c r="BF129" s="181"/>
      <c r="BG129" s="181"/>
      <c r="BH129" s="181"/>
      <c r="BI129" s="181"/>
      <c r="BJ129" s="13"/>
    </row>
    <row r="130" spans="3:62">
      <c r="C130" s="108" t="s">
        <v>524</v>
      </c>
      <c r="D130" s="164">
        <f t="shared" ref="D130:M130" si="221">D81-D46</f>
        <v>-7128.0999999999985</v>
      </c>
      <c r="E130" s="164">
        <f t="shared" si="221"/>
        <v>1699.4000000000015</v>
      </c>
      <c r="F130" s="164">
        <f t="shared" si="221"/>
        <v>8020.6999999999971</v>
      </c>
      <c r="G130" s="164">
        <f t="shared" si="221"/>
        <v>2505.8000000000029</v>
      </c>
      <c r="H130" s="164">
        <f t="shared" si="221"/>
        <v>5788.6000000000058</v>
      </c>
      <c r="I130" s="164">
        <f t="shared" si="221"/>
        <v>-809.39999999999418</v>
      </c>
      <c r="J130" s="164">
        <f t="shared" si="221"/>
        <v>33.399999999994179</v>
      </c>
      <c r="K130" s="164">
        <f t="shared" si="221"/>
        <v>7129.2000000000116</v>
      </c>
      <c r="L130" s="164">
        <f t="shared" si="221"/>
        <v>-17871</v>
      </c>
      <c r="M130" s="164">
        <f t="shared" si="221"/>
        <v>2472.3000000000029</v>
      </c>
      <c r="N130" s="164">
        <f t="shared" ref="N130:O130" si="222">N81-N46</f>
        <v>12264</v>
      </c>
      <c r="O130" s="164">
        <f t="shared" si="222"/>
        <v>8310.6000000000058</v>
      </c>
      <c r="P130" s="11"/>
      <c r="S130" s="107"/>
      <c r="T130" s="181"/>
      <c r="U130" s="181"/>
      <c r="V130" s="181"/>
      <c r="W130" s="181"/>
      <c r="X130" s="181"/>
      <c r="Y130" s="181"/>
      <c r="Z130" s="181"/>
      <c r="AA130" s="181"/>
      <c r="AB130" s="181"/>
      <c r="AC130" s="181"/>
      <c r="AD130" s="149"/>
      <c r="AE130" s="149"/>
      <c r="AF130" s="11"/>
      <c r="AI130" s="107"/>
      <c r="AJ130" s="181"/>
      <c r="AK130" s="181"/>
      <c r="AL130" s="181"/>
      <c r="AM130" s="181"/>
      <c r="AN130" s="181"/>
      <c r="AO130" s="181"/>
      <c r="AP130" s="181"/>
      <c r="AQ130" s="181"/>
      <c r="AR130" s="181"/>
      <c r="AS130" s="181"/>
      <c r="AT130" s="181"/>
      <c r="AU130" s="181"/>
      <c r="AV130" s="13"/>
      <c r="AW130" s="107"/>
      <c r="AX130" s="181"/>
      <c r="AY130" s="181"/>
      <c r="AZ130" s="181"/>
      <c r="BA130" s="181"/>
      <c r="BB130" s="181"/>
      <c r="BC130" s="181"/>
      <c r="BD130" s="181"/>
      <c r="BE130" s="181"/>
      <c r="BF130" s="181"/>
      <c r="BG130" s="181"/>
      <c r="BH130" s="181"/>
      <c r="BI130" s="181"/>
      <c r="BJ130" s="13"/>
    </row>
    <row r="131" spans="3:62">
      <c r="C131" s="124" t="s">
        <v>525</v>
      </c>
      <c r="D131" s="165">
        <f t="shared" ref="D131:M131" si="223">D130/D46</f>
        <v>-0.11371845186815989</v>
      </c>
      <c r="E131" s="165">
        <f t="shared" si="223"/>
        <v>2.7111451453367817E-2</v>
      </c>
      <c r="F131" s="165">
        <f t="shared" si="223"/>
        <v>0.12200082138022295</v>
      </c>
      <c r="G131" s="165">
        <f t="shared" si="223"/>
        <v>2.4431574431574461E-2</v>
      </c>
      <c r="H131" s="165">
        <f t="shared" si="223"/>
        <v>3.9359221056496564E-2</v>
      </c>
      <c r="I131" s="165">
        <f t="shared" si="223"/>
        <v>-3.8851914875233425E-3</v>
      </c>
      <c r="J131" s="165">
        <f t="shared" si="223"/>
        <v>1.477091809658331E-4</v>
      </c>
      <c r="K131" s="165">
        <f t="shared" si="223"/>
        <v>3.6999439496792734E-2</v>
      </c>
      <c r="L131" s="165">
        <f t="shared" si="223"/>
        <v>-0.10939341166532508</v>
      </c>
      <c r="M131" s="165">
        <f t="shared" si="223"/>
        <v>2.2981037367540463E-2</v>
      </c>
      <c r="N131" s="165">
        <f t="shared" ref="N131:O131" si="224">N130/N46</f>
        <v>0.15896511944419239</v>
      </c>
      <c r="O131" s="165">
        <f t="shared" si="224"/>
        <v>0.13483025755424874</v>
      </c>
      <c r="P131" s="11"/>
      <c r="S131" s="128"/>
      <c r="T131" s="181"/>
      <c r="U131" s="181"/>
      <c r="V131" s="181"/>
      <c r="W131" s="181"/>
      <c r="X131" s="181"/>
      <c r="Y131" s="181"/>
      <c r="Z131" s="181"/>
      <c r="AA131" s="181"/>
      <c r="AB131" s="181"/>
      <c r="AC131" s="181"/>
      <c r="AD131" s="149"/>
      <c r="AE131" s="149"/>
      <c r="AF131" s="11"/>
      <c r="AI131" s="128"/>
      <c r="AJ131" s="181"/>
      <c r="AK131" s="181"/>
      <c r="AL131" s="181"/>
      <c r="AM131" s="181"/>
      <c r="AN131" s="181"/>
      <c r="AO131" s="181"/>
      <c r="AP131" s="181"/>
      <c r="AQ131" s="181"/>
      <c r="AR131" s="181"/>
      <c r="AS131" s="181"/>
      <c r="AT131" s="181"/>
      <c r="AU131" s="181"/>
      <c r="AV131" s="13"/>
      <c r="AW131" s="128"/>
      <c r="AX131" s="181"/>
      <c r="AY131" s="181"/>
      <c r="AZ131" s="181"/>
      <c r="BA131" s="181"/>
      <c r="BB131" s="181"/>
      <c r="BC131" s="181"/>
      <c r="BD131" s="181"/>
      <c r="BE131" s="181"/>
      <c r="BF131" s="181"/>
      <c r="BG131" s="181"/>
      <c r="BH131" s="181"/>
      <c r="BI131" s="181"/>
      <c r="BJ131" s="13"/>
    </row>
    <row r="132" spans="3:62">
      <c r="C132" s="108" t="s">
        <v>681</v>
      </c>
      <c r="D132" s="164">
        <f>D130</f>
        <v>-7128.0999999999985</v>
      </c>
      <c r="E132" s="164">
        <f t="shared" ref="E132:J132" si="225">D132+E130</f>
        <v>-5428.6999999999971</v>
      </c>
      <c r="F132" s="164">
        <f t="shared" si="225"/>
        <v>2592</v>
      </c>
      <c r="G132" s="164">
        <f t="shared" si="225"/>
        <v>5097.8000000000029</v>
      </c>
      <c r="H132" s="164">
        <f t="shared" si="225"/>
        <v>10886.400000000009</v>
      </c>
      <c r="I132" s="164">
        <f t="shared" si="225"/>
        <v>10077.000000000015</v>
      </c>
      <c r="J132" s="164">
        <f t="shared" si="225"/>
        <v>10110.400000000009</v>
      </c>
      <c r="K132" s="164">
        <f>J132+K130</f>
        <v>17239.60000000002</v>
      </c>
      <c r="L132" s="164">
        <f>K132+L130</f>
        <v>-631.39999999997963</v>
      </c>
      <c r="M132" s="164">
        <f>L132+M130</f>
        <v>1840.9000000000233</v>
      </c>
      <c r="N132" s="164">
        <f>M132+N130</f>
        <v>14104.900000000023</v>
      </c>
      <c r="O132" s="164">
        <f>N132+O130</f>
        <v>22415.500000000029</v>
      </c>
      <c r="P132" s="11"/>
      <c r="S132" s="107"/>
      <c r="T132" s="181"/>
      <c r="U132" s="181"/>
      <c r="V132" s="181"/>
      <c r="W132" s="181"/>
      <c r="X132" s="181"/>
      <c r="Y132" s="181"/>
      <c r="Z132" s="181"/>
      <c r="AA132" s="181"/>
      <c r="AB132" s="181"/>
      <c r="AC132" s="181"/>
      <c r="AD132" s="149"/>
      <c r="AE132" s="149"/>
      <c r="AF132" s="11"/>
      <c r="AI132" s="107"/>
      <c r="AJ132" s="181"/>
      <c r="AK132" s="181"/>
      <c r="AL132" s="181"/>
      <c r="AM132" s="181"/>
      <c r="AN132" s="181"/>
      <c r="AO132" s="181"/>
      <c r="AP132" s="181"/>
      <c r="AQ132" s="181"/>
      <c r="AR132" s="181"/>
      <c r="AS132" s="181"/>
      <c r="AT132" s="181"/>
      <c r="AU132" s="181"/>
      <c r="AV132" s="13"/>
      <c r="AW132" s="107"/>
      <c r="AX132" s="181"/>
      <c r="AY132" s="181"/>
      <c r="AZ132" s="181"/>
      <c r="BA132" s="181"/>
      <c r="BB132" s="181"/>
      <c r="BC132" s="181"/>
      <c r="BD132" s="181"/>
      <c r="BE132" s="181"/>
      <c r="BF132" s="181"/>
      <c r="BG132" s="181"/>
      <c r="BH132" s="181"/>
      <c r="BI132" s="181"/>
      <c r="BJ132" s="13"/>
    </row>
    <row r="133" spans="3:62">
      <c r="C133" s="128" t="s">
        <v>682</v>
      </c>
      <c r="D133" s="280">
        <f t="shared" ref="D133:M133" si="226">D132/D47</f>
        <v>-0.11371845186815989</v>
      </c>
      <c r="E133" s="280">
        <f t="shared" si="226"/>
        <v>-4.330350020739604E-2</v>
      </c>
      <c r="F133" s="280">
        <f t="shared" si="226"/>
        <v>1.3563082461657605E-2</v>
      </c>
      <c r="G133" s="280">
        <f t="shared" si="226"/>
        <v>1.7358881196985754E-2</v>
      </c>
      <c r="H133" s="280">
        <f t="shared" si="226"/>
        <v>2.4700164722218462E-2</v>
      </c>
      <c r="I133" s="280">
        <f t="shared" si="226"/>
        <v>1.5525254151507214E-2</v>
      </c>
      <c r="J133" s="280">
        <f t="shared" si="226"/>
        <v>1.1552214572467865E-2</v>
      </c>
      <c r="K133" s="280">
        <f t="shared" si="226"/>
        <v>1.6143829500723652E-2</v>
      </c>
      <c r="L133" s="280">
        <f t="shared" si="226"/>
        <v>-5.1281634774697025E-4</v>
      </c>
      <c r="M133" s="280">
        <f t="shared" si="226"/>
        <v>1.3750168058439696E-3</v>
      </c>
      <c r="N133" s="280">
        <f t="shared" ref="N133:O133" si="227">N132/N47</f>
        <v>9.9613056500530896E-3</v>
      </c>
      <c r="O133" s="280">
        <f t="shared" si="227"/>
        <v>1.5170141712289455E-2</v>
      </c>
      <c r="P133" s="11"/>
      <c r="S133" s="128"/>
      <c r="T133" s="181"/>
      <c r="U133" s="181"/>
      <c r="V133" s="181"/>
      <c r="W133" s="181"/>
      <c r="X133" s="181"/>
      <c r="Y133" s="181"/>
      <c r="Z133" s="181"/>
      <c r="AA133" s="181"/>
      <c r="AB133" s="181"/>
      <c r="AC133" s="181"/>
      <c r="AD133" s="149"/>
      <c r="AE133" s="149"/>
      <c r="AF133" s="11"/>
      <c r="AI133" s="128"/>
      <c r="AJ133" s="181"/>
      <c r="AK133" s="181"/>
      <c r="AL133" s="181"/>
      <c r="AM133" s="181"/>
      <c r="AN133" s="181"/>
      <c r="AO133" s="181"/>
      <c r="AP133" s="181"/>
      <c r="AQ133" s="181"/>
      <c r="AR133" s="181"/>
      <c r="AS133" s="181"/>
      <c r="AT133" s="181"/>
      <c r="AU133" s="181"/>
      <c r="AV133" s="13"/>
      <c r="AW133" s="128"/>
      <c r="AX133" s="181"/>
      <c r="AY133" s="181"/>
      <c r="AZ133" s="181"/>
      <c r="BA133" s="181"/>
      <c r="BB133" s="181"/>
      <c r="BC133" s="181"/>
      <c r="BD133" s="181"/>
      <c r="BE133" s="181"/>
      <c r="BF133" s="181"/>
      <c r="BG133" s="181"/>
      <c r="BH133" s="181"/>
      <c r="BI133" s="181"/>
      <c r="BJ133" s="13"/>
    </row>
    <row r="134" spans="3:62">
      <c r="C134" s="108" t="s">
        <v>526</v>
      </c>
      <c r="D134" s="164">
        <f t="shared" ref="D134:M134" si="228">D83-D46</f>
        <v>-7128.0999999999985</v>
      </c>
      <c r="E134" s="164">
        <f t="shared" si="228"/>
        <v>1699.4000000000015</v>
      </c>
      <c r="F134" s="164">
        <f t="shared" si="228"/>
        <v>8020.6999999999971</v>
      </c>
      <c r="G134" s="164">
        <f t="shared" si="228"/>
        <v>-2346.3919458544842</v>
      </c>
      <c r="H134" s="164">
        <f t="shared" si="228"/>
        <v>15059.393000000011</v>
      </c>
      <c r="I134" s="164">
        <f t="shared" si="228"/>
        <v>14221.951556137297</v>
      </c>
      <c r="J134" s="164">
        <f t="shared" si="228"/>
        <v>6072.2743163016858</v>
      </c>
      <c r="K134" s="164">
        <f t="shared" si="228"/>
        <v>10311.479215686297</v>
      </c>
      <c r="L134" s="164">
        <f t="shared" si="228"/>
        <v>53244.181866952771</v>
      </c>
      <c r="M134" s="164">
        <f t="shared" si="228"/>
        <v>-1215.751351351355</v>
      </c>
      <c r="N134" s="164">
        <f t="shared" ref="N134:O134" si="229">N83-N46</f>
        <v>-3385.3000000000029</v>
      </c>
      <c r="O134" s="164">
        <f t="shared" si="229"/>
        <v>38580.108054145516</v>
      </c>
      <c r="P134" s="11"/>
      <c r="S134" s="107"/>
      <c r="T134" s="181"/>
      <c r="U134" s="181"/>
      <c r="V134" s="181"/>
      <c r="W134" s="181"/>
      <c r="X134" s="181"/>
      <c r="Y134" s="181"/>
      <c r="Z134" s="181"/>
      <c r="AA134" s="181"/>
      <c r="AB134" s="181"/>
      <c r="AC134" s="181"/>
      <c r="AD134" s="149"/>
      <c r="AE134" s="149"/>
      <c r="AF134" s="11"/>
      <c r="AI134" s="107"/>
      <c r="AJ134" s="181"/>
      <c r="AK134" s="181"/>
      <c r="AL134" s="181"/>
      <c r="AM134" s="181"/>
      <c r="AN134" s="181"/>
      <c r="AO134" s="181"/>
      <c r="AP134" s="181"/>
      <c r="AQ134" s="181"/>
      <c r="AR134" s="181"/>
      <c r="AS134" s="181"/>
      <c r="AT134" s="181"/>
      <c r="AU134" s="181"/>
      <c r="AV134" s="13"/>
      <c r="AW134" s="107"/>
      <c r="AX134" s="181"/>
      <c r="AY134" s="181"/>
      <c r="AZ134" s="181"/>
      <c r="BA134" s="181"/>
      <c r="BB134" s="181"/>
      <c r="BC134" s="181"/>
      <c r="BD134" s="181"/>
      <c r="BE134" s="181"/>
      <c r="BF134" s="181"/>
      <c r="BG134" s="181"/>
      <c r="BH134" s="181"/>
      <c r="BI134" s="181"/>
      <c r="BJ134" s="13"/>
    </row>
    <row r="135" spans="3:62">
      <c r="C135" s="124" t="s">
        <v>527</v>
      </c>
      <c r="D135" s="165">
        <f t="shared" ref="D135:M135" si="230">D134/D46</f>
        <v>-0.11371845186815989</v>
      </c>
      <c r="E135" s="165">
        <f t="shared" si="230"/>
        <v>2.7111451453367817E-2</v>
      </c>
      <c r="F135" s="165">
        <f t="shared" si="230"/>
        <v>0.12200082138022295</v>
      </c>
      <c r="G135" s="165">
        <f t="shared" si="230"/>
        <v>-2.2877344349425569E-2</v>
      </c>
      <c r="H135" s="165">
        <f t="shared" si="230"/>
        <v>0.1023953940613718</v>
      </c>
      <c r="I135" s="165">
        <f t="shared" si="230"/>
        <v>6.8266623575332808E-2</v>
      </c>
      <c r="J135" s="165">
        <f t="shared" si="230"/>
        <v>2.6854211552722829E-2</v>
      </c>
      <c r="K135" s="165">
        <f t="shared" si="230"/>
        <v>5.3514973820796209E-2</v>
      </c>
      <c r="L135" s="165">
        <f t="shared" si="230"/>
        <v>0.32592259558810371</v>
      </c>
      <c r="M135" s="165">
        <f t="shared" si="230"/>
        <v>-1.1300904920536856E-2</v>
      </c>
      <c r="N135" s="165">
        <f t="shared" ref="N135:O135" si="231">N134/N46</f>
        <v>-4.3880024368429957E-2</v>
      </c>
      <c r="O135" s="165">
        <f t="shared" si="231"/>
        <v>0.62591941681842245</v>
      </c>
      <c r="P135" s="11"/>
      <c r="S135" s="128"/>
      <c r="T135" s="181"/>
      <c r="U135" s="181"/>
      <c r="V135" s="181"/>
      <c r="W135" s="181"/>
      <c r="X135" s="181"/>
      <c r="Y135" s="181"/>
      <c r="Z135" s="181"/>
      <c r="AA135" s="181"/>
      <c r="AB135" s="181"/>
      <c r="AC135" s="181"/>
      <c r="AD135" s="149"/>
      <c r="AE135" s="149"/>
      <c r="AF135" s="11"/>
      <c r="AI135" s="128"/>
      <c r="AJ135" s="181"/>
      <c r="AK135" s="181"/>
      <c r="AL135" s="181"/>
      <c r="AM135" s="181"/>
      <c r="AN135" s="181"/>
      <c r="AO135" s="181"/>
      <c r="AP135" s="181"/>
      <c r="AQ135" s="181"/>
      <c r="AR135" s="181"/>
      <c r="AS135" s="181"/>
      <c r="AT135" s="181"/>
      <c r="AU135" s="181"/>
      <c r="AV135" s="13"/>
      <c r="AW135" s="128"/>
      <c r="AX135" s="181"/>
      <c r="AY135" s="181"/>
      <c r="AZ135" s="181"/>
      <c r="BA135" s="181"/>
      <c r="BB135" s="181"/>
      <c r="BC135" s="181"/>
      <c r="BD135" s="181"/>
      <c r="BE135" s="181"/>
      <c r="BF135" s="181"/>
      <c r="BG135" s="181"/>
      <c r="BH135" s="181"/>
      <c r="BI135" s="181"/>
      <c r="BJ135" s="13"/>
    </row>
    <row r="136" spans="3:62">
      <c r="C136" s="108" t="s">
        <v>683</v>
      </c>
      <c r="D136" s="164">
        <f>D134</f>
        <v>-7128.0999999999985</v>
      </c>
      <c r="E136" s="164">
        <f t="shared" ref="E136:J136" si="232">D136+E134</f>
        <v>-5428.6999999999971</v>
      </c>
      <c r="F136" s="164">
        <f t="shared" si="232"/>
        <v>2592</v>
      </c>
      <c r="G136" s="164">
        <f t="shared" si="232"/>
        <v>245.60805414551578</v>
      </c>
      <c r="H136" s="164">
        <f t="shared" si="232"/>
        <v>15305.001054145527</v>
      </c>
      <c r="I136" s="164">
        <f t="shared" si="232"/>
        <v>29526.952610282824</v>
      </c>
      <c r="J136" s="164">
        <f t="shared" si="232"/>
        <v>35599.22692658451</v>
      </c>
      <c r="K136" s="164">
        <f>J136+K134</f>
        <v>45910.706142270807</v>
      </c>
      <c r="L136" s="164">
        <f>K136+L134</f>
        <v>99154.888009223578</v>
      </c>
      <c r="M136" s="164">
        <f>L136+M134</f>
        <v>97939.136657872223</v>
      </c>
      <c r="N136" s="164">
        <f>M136+N134</f>
        <v>94553.83665787222</v>
      </c>
      <c r="O136" s="164">
        <f>N136+O134</f>
        <v>133133.94471201772</v>
      </c>
      <c r="P136" s="11"/>
      <c r="S136" s="107"/>
      <c r="T136" s="181"/>
      <c r="U136" s="181"/>
      <c r="V136" s="181"/>
      <c r="W136" s="181"/>
      <c r="X136" s="181"/>
      <c r="Y136" s="181"/>
      <c r="Z136" s="181"/>
      <c r="AA136" s="181"/>
      <c r="AB136" s="181"/>
      <c r="AC136" s="181"/>
      <c r="AD136" s="149"/>
      <c r="AE136" s="149"/>
      <c r="AF136" s="11"/>
      <c r="AI136" s="107"/>
      <c r="AJ136" s="181"/>
      <c r="AK136" s="181"/>
      <c r="AL136" s="181"/>
      <c r="AM136" s="181"/>
      <c r="AN136" s="181"/>
      <c r="AO136" s="181"/>
      <c r="AP136" s="181"/>
      <c r="AQ136" s="181"/>
      <c r="AR136" s="181"/>
      <c r="AS136" s="181"/>
      <c r="AT136" s="181"/>
      <c r="AU136" s="181"/>
      <c r="AV136" s="13"/>
      <c r="AW136" s="107"/>
      <c r="AX136" s="181"/>
      <c r="AY136" s="181"/>
      <c r="AZ136" s="181"/>
      <c r="BA136" s="181"/>
      <c r="BB136" s="181"/>
      <c r="BC136" s="181"/>
      <c r="BD136" s="181"/>
      <c r="BE136" s="181"/>
      <c r="BF136" s="181"/>
      <c r="BG136" s="181"/>
      <c r="BH136" s="181"/>
      <c r="BI136" s="181"/>
      <c r="BJ136" s="13"/>
    </row>
    <row r="137" spans="3:62">
      <c r="C137" s="128" t="s">
        <v>684</v>
      </c>
      <c r="D137" s="280">
        <f t="shared" ref="D137:M137" si="233">D136/D47</f>
        <v>-0.11371845186815989</v>
      </c>
      <c r="E137" s="280">
        <f t="shared" si="233"/>
        <v>-4.330350020739604E-2</v>
      </c>
      <c r="F137" s="280">
        <f t="shared" si="233"/>
        <v>1.3563082461657605E-2</v>
      </c>
      <c r="G137" s="280">
        <f t="shared" si="233"/>
        <v>8.3633744614046261E-4</v>
      </c>
      <c r="H137" s="280">
        <f t="shared" si="233"/>
        <v>3.4725533428049807E-2</v>
      </c>
      <c r="I137" s="280">
        <f t="shared" si="233"/>
        <v>4.549106317298298E-2</v>
      </c>
      <c r="J137" s="280">
        <f t="shared" si="233"/>
        <v>4.0675928555732668E-2</v>
      </c>
      <c r="K137" s="280">
        <f t="shared" si="233"/>
        <v>4.299256434132144E-2</v>
      </c>
      <c r="L137" s="280">
        <f t="shared" si="233"/>
        <v>8.0532542809869379E-2</v>
      </c>
      <c r="M137" s="280">
        <f t="shared" si="233"/>
        <v>7.3153326554631859E-2</v>
      </c>
      <c r="N137" s="280">
        <f t="shared" ref="N137:O137" si="234">N136/N47</f>
        <v>6.6776770295022145E-2</v>
      </c>
      <c r="O137" s="280">
        <f t="shared" si="234"/>
        <v>9.0101082197471191E-2</v>
      </c>
      <c r="P137" s="11"/>
      <c r="S137" s="128"/>
      <c r="T137" s="181"/>
      <c r="U137" s="181"/>
      <c r="V137" s="181"/>
      <c r="W137" s="181"/>
      <c r="X137" s="181"/>
      <c r="Y137" s="181"/>
      <c r="Z137" s="181"/>
      <c r="AA137" s="181"/>
      <c r="AB137" s="181"/>
      <c r="AC137" s="181"/>
      <c r="AD137" s="149"/>
      <c r="AE137" s="149"/>
      <c r="AF137" s="11"/>
      <c r="AI137" s="128"/>
      <c r="AJ137" s="181"/>
      <c r="AK137" s="181"/>
      <c r="AL137" s="181"/>
      <c r="AM137" s="181"/>
      <c r="AN137" s="181"/>
      <c r="AO137" s="181"/>
      <c r="AP137" s="181"/>
      <c r="AQ137" s="181"/>
      <c r="AR137" s="181"/>
      <c r="AS137" s="181"/>
      <c r="AT137" s="181"/>
      <c r="AU137" s="181"/>
      <c r="AV137" s="13"/>
      <c r="AW137" s="128"/>
      <c r="AX137" s="181"/>
      <c r="AY137" s="181"/>
      <c r="AZ137" s="181"/>
      <c r="BA137" s="181"/>
      <c r="BB137" s="181"/>
      <c r="BC137" s="181"/>
      <c r="BD137" s="181"/>
      <c r="BE137" s="181"/>
      <c r="BF137" s="181"/>
      <c r="BG137" s="181"/>
      <c r="BH137" s="181"/>
      <c r="BI137" s="181"/>
      <c r="BJ137" s="13"/>
    </row>
    <row r="138" spans="3:62">
      <c r="C138" s="108" t="s">
        <v>528</v>
      </c>
      <c r="D138" s="164">
        <f t="shared" ref="D138:M138" si="235">D85-D48</f>
        <v>-204.09999999999991</v>
      </c>
      <c r="E138" s="164">
        <f t="shared" si="235"/>
        <v>-83.300000000000182</v>
      </c>
      <c r="F138" s="164">
        <f t="shared" si="235"/>
        <v>145.60000000000036</v>
      </c>
      <c r="G138" s="164">
        <f t="shared" si="235"/>
        <v>-4406.0000000000018</v>
      </c>
      <c r="H138" s="164">
        <f t="shared" si="235"/>
        <v>-1704.1999999999971</v>
      </c>
      <c r="I138" s="164">
        <f t="shared" si="235"/>
        <v>-6673.6999999999971</v>
      </c>
      <c r="J138" s="164">
        <f t="shared" si="235"/>
        <v>1407.1999999999971</v>
      </c>
      <c r="K138" s="164">
        <f t="shared" si="235"/>
        <v>323.29999999999563</v>
      </c>
      <c r="L138" s="164">
        <f t="shared" si="235"/>
        <v>-10305</v>
      </c>
      <c r="M138" s="164">
        <f t="shared" si="235"/>
        <v>-6775.6</v>
      </c>
      <c r="N138" s="164">
        <f t="shared" ref="N138:O138" si="236">N85-N48</f>
        <v>-857.59999999999945</v>
      </c>
      <c r="O138" s="164">
        <f t="shared" si="236"/>
        <v>1093.1000000000004</v>
      </c>
      <c r="P138" s="11"/>
      <c r="S138" s="107"/>
      <c r="T138" s="181"/>
      <c r="U138" s="181"/>
      <c r="V138" s="181"/>
      <c r="W138" s="181"/>
      <c r="X138" s="181"/>
      <c r="Y138" s="181"/>
      <c r="Z138" s="181"/>
      <c r="AA138" s="181"/>
      <c r="AB138" s="181"/>
      <c r="AC138" s="181"/>
      <c r="AD138" s="149"/>
      <c r="AE138" s="149"/>
      <c r="AF138" s="11"/>
      <c r="AI138" s="107"/>
      <c r="AJ138" s="181"/>
      <c r="AK138" s="181"/>
      <c r="AL138" s="181"/>
      <c r="AM138" s="181"/>
      <c r="AN138" s="181"/>
      <c r="AO138" s="181"/>
      <c r="AP138" s="181"/>
      <c r="AQ138" s="181"/>
      <c r="AR138" s="181"/>
      <c r="AS138" s="181"/>
      <c r="AT138" s="181"/>
      <c r="AU138" s="181"/>
      <c r="AV138" s="13"/>
      <c r="AW138" s="107"/>
      <c r="AX138" s="181"/>
      <c r="AY138" s="181"/>
      <c r="AZ138" s="181"/>
      <c r="BA138" s="181"/>
      <c r="BB138" s="181"/>
      <c r="BC138" s="181"/>
      <c r="BD138" s="181"/>
      <c r="BE138" s="181"/>
      <c r="BF138" s="181"/>
      <c r="BG138" s="181"/>
      <c r="BH138" s="181"/>
      <c r="BI138" s="181"/>
      <c r="BJ138" s="13"/>
    </row>
    <row r="139" spans="3:62">
      <c r="C139" s="124" t="s">
        <v>529</v>
      </c>
      <c r="D139" s="165">
        <f t="shared" ref="D139:M139" si="237">D138/D48</f>
        <v>-5.7753254102999411E-2</v>
      </c>
      <c r="E139" s="165">
        <f t="shared" si="237"/>
        <v>-2.3571024335031179E-2</v>
      </c>
      <c r="F139" s="165">
        <f t="shared" si="237"/>
        <v>3.0395390589119529E-2</v>
      </c>
      <c r="G139" s="165">
        <f t="shared" si="237"/>
        <v>-0.30843974014336928</v>
      </c>
      <c r="H139" s="165">
        <f t="shared" si="237"/>
        <v>-6.3795698039186222E-2</v>
      </c>
      <c r="I139" s="165">
        <f t="shared" si="237"/>
        <v>-0.15594396607119901</v>
      </c>
      <c r="J139" s="165">
        <f t="shared" si="237"/>
        <v>2.9568491653919147E-2</v>
      </c>
      <c r="K139" s="165">
        <f t="shared" si="237"/>
        <v>8.108609723308945E-3</v>
      </c>
      <c r="L139" s="165">
        <f t="shared" si="237"/>
        <v>-0.33594679619879703</v>
      </c>
      <c r="M139" s="165">
        <f t="shared" si="237"/>
        <v>-0.42168284789644017</v>
      </c>
      <c r="N139" s="165">
        <f t="shared" ref="N139:O139" si="238">N138/N48</f>
        <v>-0.11536495466652312</v>
      </c>
      <c r="O139" s="165">
        <f t="shared" si="238"/>
        <v>0.29675580290484604</v>
      </c>
      <c r="P139" s="11"/>
      <c r="S139" s="128"/>
      <c r="T139" s="181"/>
      <c r="U139" s="181"/>
      <c r="V139" s="181"/>
      <c r="W139" s="181"/>
      <c r="X139" s="181"/>
      <c r="Y139" s="181"/>
      <c r="Z139" s="181"/>
      <c r="AA139" s="181"/>
      <c r="AB139" s="181"/>
      <c r="AC139" s="181"/>
      <c r="AD139" s="149"/>
      <c r="AE139" s="149"/>
      <c r="AF139" s="11"/>
      <c r="AI139" s="128"/>
      <c r="AJ139" s="181"/>
      <c r="AK139" s="181"/>
      <c r="AL139" s="181"/>
      <c r="AM139" s="181"/>
      <c r="AN139" s="181"/>
      <c r="AO139" s="181"/>
      <c r="AP139" s="181"/>
      <c r="AQ139" s="181"/>
      <c r="AR139" s="181"/>
      <c r="AS139" s="181"/>
      <c r="AT139" s="181"/>
      <c r="AU139" s="181"/>
      <c r="AV139" s="13"/>
      <c r="AW139" s="128"/>
      <c r="AX139" s="181"/>
      <c r="AY139" s="181"/>
      <c r="AZ139" s="181"/>
      <c r="BA139" s="181"/>
      <c r="BB139" s="181"/>
      <c r="BC139" s="181"/>
      <c r="BD139" s="181"/>
      <c r="BE139" s="181"/>
      <c r="BF139" s="181"/>
      <c r="BG139" s="181"/>
      <c r="BH139" s="181"/>
      <c r="BI139" s="181"/>
      <c r="BJ139" s="13"/>
    </row>
    <row r="140" spans="3:62">
      <c r="C140" s="108" t="s">
        <v>685</v>
      </c>
      <c r="D140" s="164">
        <f>D138</f>
        <v>-204.09999999999991</v>
      </c>
      <c r="E140" s="164">
        <f t="shared" ref="E140:J140" si="239">D140+E138</f>
        <v>-287.40000000000009</v>
      </c>
      <c r="F140" s="164">
        <f t="shared" si="239"/>
        <v>-141.79999999999973</v>
      </c>
      <c r="G140" s="164">
        <f t="shared" si="239"/>
        <v>-4547.8000000000011</v>
      </c>
      <c r="H140" s="164">
        <f t="shared" si="239"/>
        <v>-6251.9999999999982</v>
      </c>
      <c r="I140" s="164">
        <f t="shared" si="239"/>
        <v>-12925.699999999995</v>
      </c>
      <c r="J140" s="164">
        <f t="shared" si="239"/>
        <v>-11518.499999999998</v>
      </c>
      <c r="K140" s="164">
        <f>J140+K138</f>
        <v>-11195.200000000003</v>
      </c>
      <c r="L140" s="164">
        <f>K140+L138</f>
        <v>-21500.200000000004</v>
      </c>
      <c r="M140" s="164">
        <f>L140+M138</f>
        <v>-28275.800000000003</v>
      </c>
      <c r="N140" s="164">
        <f>M140+N138</f>
        <v>-29133.4</v>
      </c>
      <c r="O140" s="164">
        <f>N140+O138</f>
        <v>-28040.300000000003</v>
      </c>
      <c r="P140" s="11"/>
      <c r="S140" s="107"/>
      <c r="T140" s="181"/>
      <c r="U140" s="181"/>
      <c r="V140" s="181"/>
      <c r="W140" s="181"/>
      <c r="X140" s="181"/>
      <c r="Y140" s="181"/>
      <c r="Z140" s="181"/>
      <c r="AA140" s="181"/>
      <c r="AB140" s="181"/>
      <c r="AC140" s="181"/>
      <c r="AD140" s="149"/>
      <c r="AE140" s="149"/>
      <c r="AF140" s="11"/>
      <c r="AI140" s="107"/>
      <c r="AJ140" s="181"/>
      <c r="AK140" s="181"/>
      <c r="AL140" s="181"/>
      <c r="AM140" s="181"/>
      <c r="AN140" s="181"/>
      <c r="AO140" s="181"/>
      <c r="AP140" s="181"/>
      <c r="AQ140" s="181"/>
      <c r="AR140" s="181"/>
      <c r="AS140" s="181"/>
      <c r="AT140" s="181"/>
      <c r="AU140" s="181"/>
      <c r="AV140" s="13"/>
      <c r="AW140" s="107"/>
      <c r="AX140" s="181"/>
      <c r="AY140" s="181"/>
      <c r="AZ140" s="181"/>
      <c r="BA140" s="181"/>
      <c r="BB140" s="181"/>
      <c r="BC140" s="181"/>
      <c r="BD140" s="181"/>
      <c r="BE140" s="181"/>
      <c r="BF140" s="181"/>
      <c r="BG140" s="181"/>
      <c r="BH140" s="181"/>
      <c r="BI140" s="181"/>
      <c r="BJ140" s="13"/>
    </row>
    <row r="141" spans="3:62">
      <c r="C141" s="128" t="s">
        <v>686</v>
      </c>
      <c r="D141" s="280">
        <f t="shared" ref="D141:M141" si="240">D140/D49</f>
        <v>-5.7753254102999411E-2</v>
      </c>
      <c r="E141" s="280">
        <f t="shared" si="240"/>
        <v>-4.0662139219015292E-2</v>
      </c>
      <c r="F141" s="280">
        <f t="shared" si="240"/>
        <v>-1.1957970012312132E-2</v>
      </c>
      <c r="G141" s="280">
        <f t="shared" si="240"/>
        <v>-0.17395861224802053</v>
      </c>
      <c r="H141" s="280">
        <f t="shared" si="240"/>
        <v>-0.11828274343315093</v>
      </c>
      <c r="I141" s="280">
        <f t="shared" si="240"/>
        <v>-0.13513270515274653</v>
      </c>
      <c r="J141" s="280">
        <f t="shared" si="240"/>
        <v>-8.0412250223570958E-2</v>
      </c>
      <c r="K141" s="280">
        <f t="shared" si="240"/>
        <v>-6.1137770234219839E-2</v>
      </c>
      <c r="L141" s="280">
        <f t="shared" si="240"/>
        <v>-0.10056747593887053</v>
      </c>
      <c r="M141" s="280">
        <f t="shared" si="240"/>
        <v>-0.12301485098548313</v>
      </c>
      <c r="N141" s="280">
        <f t="shared" ref="N141:O141" si="241">N140/N49</f>
        <v>-0.12277519632046108</v>
      </c>
      <c r="O141" s="280">
        <f t="shared" si="241"/>
        <v>-0.11636229785690662</v>
      </c>
      <c r="P141" s="11"/>
      <c r="S141" s="128"/>
      <c r="T141" s="181"/>
      <c r="U141" s="181"/>
      <c r="V141" s="181"/>
      <c r="W141" s="181"/>
      <c r="X141" s="181"/>
      <c r="Y141" s="181"/>
      <c r="Z141" s="181"/>
      <c r="AA141" s="181"/>
      <c r="AB141" s="181"/>
      <c r="AC141" s="181"/>
      <c r="AD141" s="149"/>
      <c r="AE141" s="149"/>
      <c r="AF141" s="11"/>
      <c r="AI141" s="128"/>
      <c r="AJ141" s="181"/>
      <c r="AK141" s="181"/>
      <c r="AL141" s="181"/>
      <c r="AM141" s="181"/>
      <c r="AN141" s="181"/>
      <c r="AO141" s="181"/>
      <c r="AP141" s="181"/>
      <c r="AQ141" s="181"/>
      <c r="AR141" s="181"/>
      <c r="AS141" s="181"/>
      <c r="AT141" s="181"/>
      <c r="AU141" s="181"/>
      <c r="AV141" s="13"/>
      <c r="AW141" s="128"/>
      <c r="AX141" s="181"/>
      <c r="AY141" s="181"/>
      <c r="AZ141" s="181"/>
      <c r="BA141" s="181"/>
      <c r="BB141" s="181"/>
      <c r="BC141" s="181"/>
      <c r="BD141" s="181"/>
      <c r="BE141" s="181"/>
      <c r="BF141" s="181"/>
      <c r="BG141" s="181"/>
      <c r="BH141" s="181"/>
      <c r="BI141" s="181"/>
      <c r="BJ141" s="13"/>
    </row>
    <row r="142" spans="3:62">
      <c r="C142" s="108" t="s">
        <v>530</v>
      </c>
      <c r="D142" s="164">
        <f t="shared" ref="D142:M142" si="242">D87-D48</f>
        <v>-204.09999999999991</v>
      </c>
      <c r="E142" s="164">
        <f t="shared" si="242"/>
        <v>-83.300000000000182</v>
      </c>
      <c r="F142" s="164">
        <f t="shared" si="242"/>
        <v>145.60000000000036</v>
      </c>
      <c r="G142" s="164">
        <f t="shared" si="242"/>
        <v>-5121.587140439935</v>
      </c>
      <c r="H142" s="164">
        <f t="shared" si="242"/>
        <v>511.69200000000274</v>
      </c>
      <c r="I142" s="164">
        <f t="shared" si="242"/>
        <v>-3286.2059627690469</v>
      </c>
      <c r="J142" s="164">
        <f t="shared" si="242"/>
        <v>3092.4249537712894</v>
      </c>
      <c r="K142" s="164">
        <f t="shared" si="242"/>
        <v>1177.1596078431321</v>
      </c>
      <c r="L142" s="164">
        <f t="shared" si="242"/>
        <v>4162.8576180257514</v>
      </c>
      <c r="M142" s="164">
        <f t="shared" si="242"/>
        <v>-7212.3783783783783</v>
      </c>
      <c r="N142" s="164">
        <f t="shared" ref="N142:O142" si="243">N87-N48</f>
        <v>-2497.9999999999991</v>
      </c>
      <c r="O142" s="164">
        <f t="shared" si="243"/>
        <v>5479.7128595600661</v>
      </c>
      <c r="P142" s="11"/>
      <c r="S142" s="107"/>
      <c r="T142" s="181"/>
      <c r="U142" s="181"/>
      <c r="V142" s="181"/>
      <c r="W142" s="181"/>
      <c r="X142" s="181"/>
      <c r="Y142" s="181"/>
      <c r="Z142" s="181"/>
      <c r="AA142" s="181"/>
      <c r="AB142" s="181"/>
      <c r="AC142" s="181"/>
      <c r="AD142" s="149"/>
      <c r="AE142" s="149"/>
      <c r="AF142" s="11"/>
      <c r="AI142" s="107"/>
      <c r="AJ142" s="181"/>
      <c r="AK142" s="181"/>
      <c r="AL142" s="181"/>
      <c r="AM142" s="181"/>
      <c r="AN142" s="181"/>
      <c r="AO142" s="181"/>
      <c r="AP142" s="181"/>
      <c r="AQ142" s="181"/>
      <c r="AR142" s="181"/>
      <c r="AS142" s="181"/>
      <c r="AT142" s="181"/>
      <c r="AU142" s="181"/>
      <c r="AV142" s="13"/>
      <c r="AW142" s="107"/>
      <c r="AX142" s="181"/>
      <c r="AY142" s="181"/>
      <c r="AZ142" s="181"/>
      <c r="BA142" s="181"/>
      <c r="BB142" s="181"/>
      <c r="BC142" s="181"/>
      <c r="BD142" s="181"/>
      <c r="BE142" s="181"/>
      <c r="BF142" s="181"/>
      <c r="BG142" s="181"/>
      <c r="BH142" s="181"/>
      <c r="BI142" s="181"/>
      <c r="BJ142" s="13"/>
    </row>
    <row r="143" spans="3:62">
      <c r="C143" s="124" t="s">
        <v>531</v>
      </c>
      <c r="D143" s="165">
        <f t="shared" ref="D143:M143" si="244">D142/D48</f>
        <v>-5.7753254102999411E-2</v>
      </c>
      <c r="E143" s="165">
        <f t="shared" si="244"/>
        <v>-2.3571024335031179E-2</v>
      </c>
      <c r="F143" s="165">
        <f t="shared" si="244"/>
        <v>3.0395390589119529E-2</v>
      </c>
      <c r="G143" s="165">
        <f t="shared" si="244"/>
        <v>-0.35853404600974004</v>
      </c>
      <c r="H143" s="165">
        <f t="shared" si="244"/>
        <v>1.9154881070923311E-2</v>
      </c>
      <c r="I143" s="165">
        <f t="shared" si="244"/>
        <v>-7.6788586715169749E-2</v>
      </c>
      <c r="J143" s="165">
        <f t="shared" si="244"/>
        <v>6.4978923703779043E-2</v>
      </c>
      <c r="K143" s="165">
        <f t="shared" si="244"/>
        <v>2.9524057661749131E-2</v>
      </c>
      <c r="L143" s="165">
        <f t="shared" si="244"/>
        <v>0.13571069187845772</v>
      </c>
      <c r="M143" s="165">
        <f t="shared" si="244"/>
        <v>-0.44886596828344399</v>
      </c>
      <c r="N143" s="165">
        <f t="shared" ref="N143:O143" si="245">N142/N48</f>
        <v>-0.33603271543490532</v>
      </c>
      <c r="O143" s="165">
        <f t="shared" si="245"/>
        <v>1.4876375348337358</v>
      </c>
      <c r="P143" s="11"/>
      <c r="S143" s="128"/>
      <c r="T143" s="181"/>
      <c r="U143" s="181"/>
      <c r="V143" s="181"/>
      <c r="W143" s="181"/>
      <c r="X143" s="181"/>
      <c r="Y143" s="181"/>
      <c r="Z143" s="181"/>
      <c r="AA143" s="181"/>
      <c r="AB143" s="181"/>
      <c r="AC143" s="181"/>
      <c r="AD143" s="149"/>
      <c r="AE143" s="149"/>
      <c r="AF143" s="11"/>
      <c r="AI143" s="128"/>
      <c r="AJ143" s="181"/>
      <c r="AK143" s="181"/>
      <c r="AL143" s="181"/>
      <c r="AM143" s="181"/>
      <c r="AN143" s="181"/>
      <c r="AO143" s="181"/>
      <c r="AP143" s="181"/>
      <c r="AQ143" s="181"/>
      <c r="AR143" s="181"/>
      <c r="AS143" s="181"/>
      <c r="AT143" s="181"/>
      <c r="AU143" s="181"/>
      <c r="AV143" s="13"/>
      <c r="AW143" s="128"/>
      <c r="AX143" s="181"/>
      <c r="AY143" s="181"/>
      <c r="AZ143" s="181"/>
      <c r="BA143" s="181"/>
      <c r="BB143" s="181"/>
      <c r="BC143" s="181"/>
      <c r="BD143" s="181"/>
      <c r="BE143" s="181"/>
      <c r="BF143" s="181"/>
      <c r="BG143" s="181"/>
      <c r="BH143" s="181"/>
      <c r="BI143" s="181"/>
      <c r="BJ143" s="13"/>
    </row>
    <row r="144" spans="3:62">
      <c r="C144" s="108" t="s">
        <v>687</v>
      </c>
      <c r="D144" s="164">
        <f>D142</f>
        <v>-204.09999999999991</v>
      </c>
      <c r="E144" s="164">
        <f t="shared" ref="E144:J144" si="246">D144+E142</f>
        <v>-287.40000000000009</v>
      </c>
      <c r="F144" s="164">
        <f t="shared" si="246"/>
        <v>-141.79999999999973</v>
      </c>
      <c r="G144" s="164">
        <f t="shared" si="246"/>
        <v>-5263.3871404399342</v>
      </c>
      <c r="H144" s="164">
        <f t="shared" si="246"/>
        <v>-4751.6951404399315</v>
      </c>
      <c r="I144" s="164">
        <f t="shared" si="246"/>
        <v>-8037.9011032089784</v>
      </c>
      <c r="J144" s="164">
        <f t="shared" si="246"/>
        <v>-4945.4761494376889</v>
      </c>
      <c r="K144" s="164">
        <f>J144+K142</f>
        <v>-3768.3165415945568</v>
      </c>
      <c r="L144" s="164">
        <f>K144+L142</f>
        <v>394.5410764311946</v>
      </c>
      <c r="M144" s="164">
        <f>L144+M142</f>
        <v>-6817.8373019471837</v>
      </c>
      <c r="N144" s="164">
        <f>M144+N142</f>
        <v>-9315.8373019471837</v>
      </c>
      <c r="O144" s="164">
        <f>N144+O142</f>
        <v>-3836.1244423871176</v>
      </c>
      <c r="P144" s="11"/>
      <c r="S144" s="107"/>
      <c r="T144" s="181"/>
      <c r="U144" s="181"/>
      <c r="V144" s="181"/>
      <c r="W144" s="181"/>
      <c r="X144" s="181"/>
      <c r="Y144" s="181"/>
      <c r="Z144" s="181"/>
      <c r="AA144" s="181"/>
      <c r="AB144" s="181"/>
      <c r="AC144" s="181"/>
      <c r="AD144" s="149"/>
      <c r="AE144" s="149"/>
      <c r="AF144" s="11"/>
      <c r="AI144" s="107"/>
      <c r="AJ144" s="181"/>
      <c r="AK144" s="181"/>
      <c r="AL144" s="181"/>
      <c r="AM144" s="181"/>
      <c r="AN144" s="181"/>
      <c r="AO144" s="181"/>
      <c r="AP144" s="181"/>
      <c r="AQ144" s="181"/>
      <c r="AR144" s="181"/>
      <c r="AS144" s="181"/>
      <c r="AT144" s="181"/>
      <c r="AU144" s="181"/>
      <c r="AV144" s="13"/>
      <c r="AW144" s="107"/>
      <c r="AX144" s="181"/>
      <c r="AY144" s="181"/>
      <c r="AZ144" s="181"/>
      <c r="BA144" s="181"/>
      <c r="BB144" s="181"/>
      <c r="BC144" s="181"/>
      <c r="BD144" s="181"/>
      <c r="BE144" s="181"/>
      <c r="BF144" s="181"/>
      <c r="BG144" s="181"/>
      <c r="BH144" s="181"/>
      <c r="BI144" s="181"/>
      <c r="BJ144" s="13"/>
    </row>
    <row r="145" spans="3:62">
      <c r="C145" s="128" t="s">
        <v>688</v>
      </c>
      <c r="D145" s="280">
        <f t="shared" ref="D145:M145" si="247">D144/D49</f>
        <v>-5.7753254102999411E-2</v>
      </c>
      <c r="E145" s="280">
        <f t="shared" si="247"/>
        <v>-4.0662139219015292E-2</v>
      </c>
      <c r="F145" s="280">
        <f t="shared" si="247"/>
        <v>-1.1957970012312132E-2</v>
      </c>
      <c r="G145" s="280">
        <f t="shared" si="247"/>
        <v>-0.2013306483739408</v>
      </c>
      <c r="H145" s="280">
        <f t="shared" si="247"/>
        <v>-8.9898198523545525E-2</v>
      </c>
      <c r="I145" s="280">
        <f t="shared" si="247"/>
        <v>-8.4032843082144509E-2</v>
      </c>
      <c r="J145" s="280">
        <f t="shared" si="247"/>
        <v>-3.4525056700376415E-2</v>
      </c>
      <c r="K145" s="280">
        <f t="shared" si="247"/>
        <v>-2.0579040203821092E-2</v>
      </c>
      <c r="L145" s="280">
        <f t="shared" si="247"/>
        <v>1.8454712147277807E-3</v>
      </c>
      <c r="M145" s="280">
        <f t="shared" si="247"/>
        <v>-2.9661238222872602E-2</v>
      </c>
      <c r="N145" s="280">
        <f t="shared" ref="N145:O145" si="248">N144/N49</f>
        <v>-3.9259192323451431E-2</v>
      </c>
      <c r="O145" s="280">
        <f t="shared" si="248"/>
        <v>-1.5919239629433691E-2</v>
      </c>
      <c r="P145" s="11"/>
      <c r="S145" s="128"/>
      <c r="T145" s="181"/>
      <c r="U145" s="181"/>
      <c r="V145" s="181"/>
      <c r="W145" s="181"/>
      <c r="X145" s="181"/>
      <c r="Y145" s="181"/>
      <c r="Z145" s="181"/>
      <c r="AA145" s="181"/>
      <c r="AB145" s="181"/>
      <c r="AC145" s="181"/>
      <c r="AD145" s="149"/>
      <c r="AE145" s="149"/>
      <c r="AF145" s="11"/>
      <c r="AI145" s="128"/>
      <c r="AJ145" s="181"/>
      <c r="AK145" s="181"/>
      <c r="AL145" s="181"/>
      <c r="AM145" s="181"/>
      <c r="AN145" s="181"/>
      <c r="AO145" s="181"/>
      <c r="AP145" s="181"/>
      <c r="AQ145" s="181"/>
      <c r="AR145" s="181"/>
      <c r="AS145" s="181"/>
      <c r="AT145" s="181"/>
      <c r="AU145" s="181"/>
      <c r="AV145" s="13"/>
      <c r="AW145" s="128"/>
      <c r="AX145" s="181"/>
      <c r="AY145" s="181"/>
      <c r="AZ145" s="181"/>
      <c r="BA145" s="181"/>
      <c r="BB145" s="181"/>
      <c r="BC145" s="181"/>
      <c r="BD145" s="181"/>
      <c r="BE145" s="181"/>
      <c r="BF145" s="181"/>
      <c r="BG145" s="181"/>
      <c r="BH145" s="181"/>
      <c r="BI145" s="181"/>
      <c r="BJ145" s="13"/>
    </row>
    <row r="146" spans="3:62" s="108" customFormat="1">
      <c r="C146" s="278" t="s">
        <v>395</v>
      </c>
      <c r="D146" s="108">
        <f t="shared" ref="D146:M146" si="249">D89-D52</f>
        <v>-28242.700000000012</v>
      </c>
      <c r="E146" s="108">
        <f t="shared" si="249"/>
        <v>10704.300000000047</v>
      </c>
      <c r="F146" s="108">
        <f t="shared" si="249"/>
        <v>2593.2000000000116</v>
      </c>
      <c r="G146" s="108">
        <f t="shared" si="249"/>
        <v>-111338.59999999986</v>
      </c>
      <c r="H146" s="108">
        <f t="shared" si="249"/>
        <v>-84422.500000000116</v>
      </c>
      <c r="I146" s="164">
        <f t="shared" si="249"/>
        <v>-191861.74999999977</v>
      </c>
      <c r="J146" s="164">
        <f t="shared" si="249"/>
        <v>-150463.90000000014</v>
      </c>
      <c r="K146" s="164">
        <f t="shared" si="249"/>
        <v>-42962.899999999907</v>
      </c>
      <c r="L146" s="164">
        <f t="shared" si="249"/>
        <v>-472669.15</v>
      </c>
      <c r="M146" s="164">
        <f t="shared" si="249"/>
        <v>-163266.49999999988</v>
      </c>
      <c r="N146" s="164">
        <f t="shared" ref="N146:O146" si="250">N89-N52</f>
        <v>-38972.799999999988</v>
      </c>
      <c r="O146" s="164">
        <f t="shared" si="250"/>
        <v>14823.849999999977</v>
      </c>
      <c r="P146" s="161"/>
      <c r="S146" s="107"/>
      <c r="T146" s="107"/>
      <c r="U146" s="107"/>
      <c r="V146" s="107"/>
      <c r="W146" s="107"/>
      <c r="X146" s="107"/>
      <c r="Y146" s="107"/>
      <c r="Z146" s="107"/>
      <c r="AA146" s="107"/>
      <c r="AB146" s="107"/>
      <c r="AC146" s="107"/>
      <c r="AF146" s="161"/>
      <c r="AI146" s="107"/>
      <c r="AJ146" s="107"/>
      <c r="AK146" s="107"/>
      <c r="AL146" s="107"/>
      <c r="AM146" s="107"/>
      <c r="AN146" s="107"/>
      <c r="AO146" s="107"/>
      <c r="AP146" s="107"/>
      <c r="AQ146" s="107"/>
      <c r="AR146" s="107"/>
      <c r="AS146" s="107"/>
      <c r="AT146" s="107"/>
      <c r="AU146" s="107"/>
      <c r="AV146" s="183"/>
      <c r="AW146" s="107"/>
      <c r="AX146" s="107"/>
      <c r="AY146" s="107"/>
      <c r="AZ146" s="107"/>
      <c r="BA146" s="107"/>
      <c r="BB146" s="107"/>
      <c r="BC146" s="107"/>
      <c r="BD146" s="107"/>
      <c r="BE146" s="107"/>
      <c r="BF146" s="107"/>
      <c r="BG146" s="107"/>
      <c r="BH146" s="107"/>
      <c r="BI146" s="107"/>
      <c r="BJ146" s="183"/>
    </row>
    <row r="147" spans="3:62" s="124" customFormat="1">
      <c r="C147" s="279" t="s">
        <v>398</v>
      </c>
      <c r="D147" s="124">
        <f t="shared" ref="D147:M147" si="251">D146/D52</f>
        <v>-0.10631985514175257</v>
      </c>
      <c r="E147" s="124">
        <f t="shared" si="251"/>
        <v>4.0296417318240345E-2</v>
      </c>
      <c r="F147" s="124">
        <f t="shared" si="251"/>
        <v>8.4143636029129429E-3</v>
      </c>
      <c r="G147" s="124">
        <f t="shared" si="251"/>
        <v>-0.16699624366219218</v>
      </c>
      <c r="H147" s="124">
        <f t="shared" si="251"/>
        <v>-7.4971309359742583E-2</v>
      </c>
      <c r="I147" s="165">
        <f t="shared" si="251"/>
        <v>-0.1108805535308322</v>
      </c>
      <c r="J147" s="165">
        <f t="shared" si="251"/>
        <v>-7.8807575806460473E-2</v>
      </c>
      <c r="K147" s="165">
        <f t="shared" si="251"/>
        <v>-2.6713191073223216E-2</v>
      </c>
      <c r="L147" s="165">
        <f t="shared" si="251"/>
        <v>-0.36980588618084004</v>
      </c>
      <c r="M147" s="165">
        <f t="shared" si="251"/>
        <v>-0.22398349892032327</v>
      </c>
      <c r="N147" s="165">
        <f t="shared" ref="N147:O147" si="252">N146/N52</f>
        <v>-9.4795108174681883E-2</v>
      </c>
      <c r="O147" s="165">
        <f t="shared" si="252"/>
        <v>5.554078724167541E-2</v>
      </c>
      <c r="S147" s="128"/>
      <c r="T147" s="128"/>
      <c r="U147" s="128"/>
      <c r="V147" s="128"/>
      <c r="W147" s="128"/>
      <c r="X147" s="128"/>
      <c r="Y147" s="128"/>
      <c r="Z147" s="128"/>
      <c r="AA147" s="128"/>
      <c r="AB147" s="128"/>
      <c r="AC147" s="128"/>
      <c r="AI147" s="128"/>
      <c r="AJ147" s="128"/>
      <c r="AK147" s="128"/>
      <c r="AL147" s="128"/>
      <c r="AM147" s="128"/>
      <c r="AN147" s="128"/>
      <c r="AO147" s="128"/>
      <c r="AP147" s="128"/>
      <c r="AQ147" s="128"/>
      <c r="AR147" s="128"/>
      <c r="AS147" s="128"/>
      <c r="AT147" s="128"/>
      <c r="AU147" s="128"/>
      <c r="AV147" s="128"/>
      <c r="AW147" s="128"/>
      <c r="AX147" s="128"/>
      <c r="AY147" s="128"/>
      <c r="AZ147" s="128"/>
      <c r="BA147" s="128"/>
      <c r="BB147" s="128"/>
      <c r="BC147" s="128"/>
      <c r="BD147" s="128"/>
      <c r="BE147" s="128"/>
      <c r="BF147" s="128"/>
      <c r="BG147" s="128"/>
      <c r="BH147" s="128"/>
      <c r="BI147" s="128"/>
      <c r="BJ147" s="128"/>
    </row>
    <row r="148" spans="3:62" s="108" customFormat="1">
      <c r="C148" s="278" t="s">
        <v>689</v>
      </c>
      <c r="D148" s="108">
        <f>D146</f>
        <v>-28242.700000000012</v>
      </c>
      <c r="E148" s="108">
        <f t="shared" ref="E148:J148" si="253">D148+E146</f>
        <v>-17538.399999999965</v>
      </c>
      <c r="F148" s="108">
        <f t="shared" si="253"/>
        <v>-14945.199999999953</v>
      </c>
      <c r="G148" s="108">
        <f t="shared" si="253"/>
        <v>-126283.79999999981</v>
      </c>
      <c r="H148" s="108">
        <f t="shared" si="253"/>
        <v>-210706.29999999993</v>
      </c>
      <c r="I148" s="164">
        <f t="shared" si="253"/>
        <v>-402568.0499999997</v>
      </c>
      <c r="J148" s="164">
        <f t="shared" si="253"/>
        <v>-553031.94999999984</v>
      </c>
      <c r="K148" s="164">
        <f>J148+K146</f>
        <v>-595994.84999999974</v>
      </c>
      <c r="L148" s="164">
        <f>K148+L146</f>
        <v>-1068663.9999999998</v>
      </c>
      <c r="M148" s="164">
        <f>L148+M146</f>
        <v>-1231930.4999999995</v>
      </c>
      <c r="N148" s="164">
        <f>M148+N146</f>
        <v>-1270903.2999999996</v>
      </c>
      <c r="O148" s="164">
        <f>N148+O146</f>
        <v>-1256079.4499999997</v>
      </c>
      <c r="P148" s="161"/>
      <c r="S148" s="107"/>
      <c r="T148" s="107"/>
      <c r="U148" s="107"/>
      <c r="V148" s="107"/>
      <c r="W148" s="107"/>
      <c r="X148" s="107"/>
      <c r="Y148" s="107"/>
      <c r="Z148" s="107"/>
      <c r="AA148" s="107"/>
      <c r="AB148" s="107"/>
      <c r="AC148" s="107"/>
      <c r="AI148" s="107"/>
      <c r="AJ148" s="107"/>
      <c r="AK148" s="107"/>
      <c r="AL148" s="107"/>
      <c r="AM148" s="107"/>
      <c r="AN148" s="107"/>
      <c r="AO148" s="107"/>
      <c r="AP148" s="107"/>
      <c r="AQ148" s="107"/>
      <c r="AR148" s="107"/>
      <c r="AS148" s="107"/>
      <c r="AT148" s="107"/>
      <c r="AU148" s="107"/>
      <c r="AV148" s="107"/>
      <c r="AW148" s="107"/>
      <c r="AX148" s="107"/>
      <c r="AY148" s="107"/>
      <c r="AZ148" s="107"/>
      <c r="BA148" s="107"/>
      <c r="BB148" s="107"/>
      <c r="BC148" s="107"/>
      <c r="BD148" s="107"/>
      <c r="BE148" s="107"/>
      <c r="BF148" s="107"/>
      <c r="BG148" s="107"/>
      <c r="BH148" s="107"/>
      <c r="BI148" s="107"/>
      <c r="BJ148" s="107"/>
    </row>
    <row r="149" spans="3:62" s="124" customFormat="1">
      <c r="C149" s="279" t="s">
        <v>690</v>
      </c>
      <c r="D149" s="279">
        <f t="shared" ref="D149:M149" si="254">D148/D53</f>
        <v>-0.10631985514175257</v>
      </c>
      <c r="E149" s="279">
        <f t="shared" si="254"/>
        <v>-3.3011718911756117E-2</v>
      </c>
      <c r="F149" s="279">
        <f t="shared" si="254"/>
        <v>-1.7803237370264086E-2</v>
      </c>
      <c r="G149" s="279">
        <f t="shared" si="254"/>
        <v>-8.3843847193410218E-2</v>
      </c>
      <c r="H149" s="280">
        <f t="shared" si="254"/>
        <v>-8.0048206802822777E-2</v>
      </c>
      <c r="I149" s="280">
        <f t="shared" si="254"/>
        <v>-9.2277329778624392E-2</v>
      </c>
      <c r="J149" s="280">
        <f t="shared" si="254"/>
        <v>-8.817690690458875E-2</v>
      </c>
      <c r="K149" s="280">
        <f t="shared" si="254"/>
        <v>-7.5632439386341732E-2</v>
      </c>
      <c r="L149" s="280">
        <f t="shared" si="254"/>
        <v>-0.11668799084965868</v>
      </c>
      <c r="M149" s="280">
        <f t="shared" si="254"/>
        <v>-0.12459820375083594</v>
      </c>
      <c r="N149" s="280">
        <f t="shared" ref="N149:O149" si="255">N148/N53</f>
        <v>-0.12340841644768419</v>
      </c>
      <c r="O149" s="325">
        <f t="shared" si="255"/>
        <v>-0.11888778726402663</v>
      </c>
      <c r="S149" s="128"/>
      <c r="T149" s="128"/>
      <c r="U149" s="128"/>
      <c r="V149" s="128"/>
      <c r="W149" s="128"/>
      <c r="X149" s="128"/>
      <c r="Y149" s="128"/>
      <c r="Z149" s="128"/>
      <c r="AA149" s="128"/>
      <c r="AB149" s="128"/>
      <c r="AC149" s="128"/>
      <c r="AI149" s="128"/>
      <c r="AJ149" s="128"/>
      <c r="AK149" s="128"/>
      <c r="AL149" s="128"/>
      <c r="AM149" s="128"/>
      <c r="AN149" s="128"/>
      <c r="AO149" s="128"/>
      <c r="AP149" s="128"/>
      <c r="AQ149" s="128"/>
      <c r="AR149" s="128"/>
      <c r="AS149" s="128"/>
      <c r="AT149" s="128"/>
      <c r="AU149" s="128"/>
      <c r="AV149" s="128"/>
      <c r="AW149" s="128"/>
      <c r="AX149" s="128"/>
      <c r="AY149" s="128"/>
      <c r="AZ149" s="128"/>
      <c r="BA149" s="128"/>
      <c r="BB149" s="128"/>
      <c r="BC149" s="128"/>
      <c r="BD149" s="128"/>
      <c r="BE149" s="128"/>
      <c r="BF149" s="128"/>
      <c r="BG149" s="128"/>
      <c r="BH149" s="128"/>
      <c r="BI149" s="128"/>
      <c r="BJ149" s="128"/>
    </row>
    <row r="150" spans="3:62" s="108" customFormat="1">
      <c r="C150" s="278" t="s">
        <v>396</v>
      </c>
      <c r="D150" s="108">
        <f t="shared" ref="D150:M150" si="256">D91-D52</f>
        <v>-28242.700000000012</v>
      </c>
      <c r="E150" s="108">
        <f t="shared" si="256"/>
        <v>10704.300000000047</v>
      </c>
      <c r="F150" s="108">
        <f t="shared" si="256"/>
        <v>2593.2000000000116</v>
      </c>
      <c r="G150" s="108">
        <f t="shared" si="256"/>
        <v>-144945.78666666662</v>
      </c>
      <c r="H150" s="108">
        <f t="shared" si="256"/>
        <v>-3908.3355000002775</v>
      </c>
      <c r="I150" s="164">
        <f t="shared" si="256"/>
        <v>-58991.62937754509</v>
      </c>
      <c r="J150" s="164">
        <f t="shared" si="256"/>
        <v>-95005.223523114342</v>
      </c>
      <c r="K150" s="164">
        <f t="shared" si="256"/>
        <v>-12598.197254901752</v>
      </c>
      <c r="L150" s="164">
        <f t="shared" si="256"/>
        <v>-6361.5114806867205</v>
      </c>
      <c r="M150" s="164">
        <f t="shared" si="256"/>
        <v>-186846.13243243238</v>
      </c>
      <c r="N150" s="164">
        <f t="shared" ref="N150:O150" si="257">N91-N52</f>
        <v>-56262.5</v>
      </c>
      <c r="O150" s="164">
        <f t="shared" si="257"/>
        <v>49479.970913705532</v>
      </c>
      <c r="P150" s="161"/>
      <c r="S150" s="107"/>
      <c r="T150" s="107"/>
      <c r="U150" s="107"/>
      <c r="V150" s="107"/>
      <c r="W150" s="107"/>
      <c r="X150" s="107"/>
      <c r="Y150" s="107"/>
      <c r="Z150" s="107"/>
      <c r="AA150" s="107"/>
      <c r="AB150" s="107"/>
      <c r="AC150" s="107"/>
      <c r="AI150" s="107"/>
      <c r="AJ150" s="107"/>
      <c r="AK150" s="107"/>
      <c r="AL150" s="107"/>
      <c r="AM150" s="107"/>
      <c r="AN150" s="107"/>
      <c r="AO150" s="107"/>
      <c r="AP150" s="107"/>
      <c r="AQ150" s="107"/>
      <c r="AR150" s="107"/>
      <c r="AS150" s="107"/>
      <c r="AT150" s="107"/>
      <c r="AU150" s="107"/>
      <c r="AV150" s="107"/>
      <c r="AW150" s="107"/>
      <c r="AX150" s="107"/>
      <c r="AY150" s="107"/>
      <c r="AZ150" s="107"/>
      <c r="BA150" s="107"/>
      <c r="BB150" s="107"/>
      <c r="BC150" s="107"/>
      <c r="BD150" s="107"/>
      <c r="BE150" s="107"/>
      <c r="BF150" s="107"/>
      <c r="BG150" s="107"/>
      <c r="BH150" s="107"/>
      <c r="BI150" s="107"/>
      <c r="BJ150" s="107"/>
    </row>
    <row r="151" spans="3:62" s="124" customFormat="1">
      <c r="C151" s="279" t="s">
        <v>397</v>
      </c>
      <c r="D151" s="128">
        <f t="shared" ref="D151:M151" si="258">D150/D52</f>
        <v>-0.10631985514175257</v>
      </c>
      <c r="E151" s="128">
        <f t="shared" si="258"/>
        <v>4.0296417318240345E-2</v>
      </c>
      <c r="F151" s="128">
        <f t="shared" si="258"/>
        <v>8.4143636029129429E-3</v>
      </c>
      <c r="G151" s="128">
        <f t="shared" si="258"/>
        <v>-0.21740350523533453</v>
      </c>
      <c r="H151" s="128">
        <f t="shared" si="258"/>
        <v>-3.4707930925071471E-3</v>
      </c>
      <c r="I151" s="294">
        <f t="shared" si="258"/>
        <v>-3.4092384329174052E-2</v>
      </c>
      <c r="J151" s="294">
        <f t="shared" si="258"/>
        <v>-4.9760316958470094E-2</v>
      </c>
      <c r="K151" s="294">
        <f t="shared" si="258"/>
        <v>-7.8332247229201818E-3</v>
      </c>
      <c r="L151" s="294">
        <f t="shared" si="258"/>
        <v>-4.9771058478534939E-3</v>
      </c>
      <c r="M151" s="294">
        <f t="shared" si="258"/>
        <v>-0.25633213489568485</v>
      </c>
      <c r="N151" s="294">
        <f t="shared" ref="N151:O151" si="259">N150/N52</f>
        <v>-0.13684954054309778</v>
      </c>
      <c r="O151" s="294">
        <f t="shared" si="259"/>
        <v>0.18538750306043375</v>
      </c>
      <c r="S151" s="128"/>
      <c r="T151" s="128"/>
      <c r="U151" s="128"/>
      <c r="V151" s="128"/>
      <c r="W151" s="128"/>
      <c r="X151" s="128"/>
      <c r="Y151" s="128"/>
      <c r="Z151" s="128"/>
      <c r="AA151" s="128"/>
      <c r="AB151" s="128"/>
      <c r="AC151" s="128"/>
      <c r="AI151" s="128"/>
      <c r="AJ151" s="128"/>
      <c r="AK151" s="128"/>
      <c r="AL151" s="128"/>
      <c r="AM151" s="128"/>
      <c r="AN151" s="128"/>
      <c r="AO151" s="128"/>
      <c r="AP151" s="128"/>
      <c r="AQ151" s="128"/>
      <c r="AR151" s="128"/>
      <c r="AS151" s="128"/>
      <c r="AT151" s="128"/>
      <c r="AU151" s="128"/>
      <c r="AV151" s="128"/>
      <c r="AW151" s="128"/>
      <c r="AX151" s="128"/>
      <c r="AY151" s="128"/>
      <c r="AZ151" s="128"/>
      <c r="BA151" s="128"/>
      <c r="BB151" s="128"/>
      <c r="BC151" s="128"/>
      <c r="BD151" s="128"/>
      <c r="BE151" s="128"/>
      <c r="BF151" s="128"/>
      <c r="BG151" s="128"/>
      <c r="BH151" s="128"/>
      <c r="BI151" s="128"/>
      <c r="BJ151" s="128"/>
    </row>
    <row r="152" spans="3:62" s="108" customFormat="1">
      <c r="C152" s="278" t="s">
        <v>691</v>
      </c>
      <c r="D152" s="108">
        <f>D150</f>
        <v>-28242.700000000012</v>
      </c>
      <c r="E152" s="108">
        <f t="shared" ref="E152:J152" si="260">D152+E150</f>
        <v>-17538.399999999965</v>
      </c>
      <c r="F152" s="108">
        <f t="shared" si="260"/>
        <v>-14945.199999999953</v>
      </c>
      <c r="G152" s="108">
        <f t="shared" si="260"/>
        <v>-159890.98666666658</v>
      </c>
      <c r="H152" s="108">
        <f t="shared" si="260"/>
        <v>-163799.32216666685</v>
      </c>
      <c r="I152" s="164">
        <f t="shared" si="260"/>
        <v>-222790.95154421194</v>
      </c>
      <c r="J152" s="164">
        <f t="shared" si="260"/>
        <v>-317796.17506732629</v>
      </c>
      <c r="K152" s="164">
        <f>J152+K150</f>
        <v>-330394.37232222804</v>
      </c>
      <c r="L152" s="164">
        <f>K152+L150</f>
        <v>-336755.88380291476</v>
      </c>
      <c r="M152" s="164">
        <f>L152+M150</f>
        <v>-523602.01623534714</v>
      </c>
      <c r="N152" s="164">
        <f>M152+N150</f>
        <v>-579864.51623534714</v>
      </c>
      <c r="O152" s="164">
        <f>N152+O150</f>
        <v>-530384.54532164161</v>
      </c>
      <c r="P152" s="161"/>
      <c r="S152" s="107"/>
      <c r="T152" s="107"/>
      <c r="U152" s="107"/>
      <c r="V152" s="107"/>
      <c r="W152" s="107"/>
      <c r="X152" s="107"/>
      <c r="Y152" s="107"/>
      <c r="Z152" s="107"/>
      <c r="AA152" s="107"/>
      <c r="AB152" s="107"/>
      <c r="AC152" s="107"/>
      <c r="AI152" s="107"/>
      <c r="AJ152" s="107"/>
      <c r="AK152" s="107"/>
      <c r="AL152" s="107"/>
      <c r="AM152" s="107"/>
      <c r="AN152" s="107"/>
      <c r="AO152" s="107"/>
      <c r="AP152" s="107"/>
      <c r="AQ152" s="107"/>
      <c r="AR152" s="107"/>
      <c r="AS152" s="107"/>
      <c r="AT152" s="107"/>
      <c r="AU152" s="107"/>
      <c r="AV152" s="107"/>
      <c r="AW152" s="107"/>
      <c r="AX152" s="107"/>
      <c r="AY152" s="107"/>
      <c r="AZ152" s="107"/>
      <c r="BA152" s="107"/>
      <c r="BB152" s="107"/>
      <c r="BC152" s="107"/>
      <c r="BD152" s="107"/>
      <c r="BE152" s="107"/>
      <c r="BF152" s="107"/>
      <c r="BG152" s="107"/>
      <c r="BH152" s="107"/>
      <c r="BI152" s="107"/>
      <c r="BJ152" s="107"/>
    </row>
    <row r="153" spans="3:62" s="124" customFormat="1">
      <c r="C153" s="279" t="s">
        <v>692</v>
      </c>
      <c r="D153" s="279">
        <f t="shared" ref="D153:M153" si="261">D152/D53</f>
        <v>-0.10631985514175257</v>
      </c>
      <c r="E153" s="279">
        <f t="shared" si="261"/>
        <v>-3.3011718911756117E-2</v>
      </c>
      <c r="F153" s="279">
        <f t="shared" si="261"/>
        <v>-1.7803237370264086E-2</v>
      </c>
      <c r="G153" s="279">
        <f t="shared" si="261"/>
        <v>-0.10615673153392283</v>
      </c>
      <c r="H153" s="280">
        <f t="shared" si="261"/>
        <v>-6.2228049256047621E-2</v>
      </c>
      <c r="I153" s="280">
        <f t="shared" si="261"/>
        <v>-5.1068518992848012E-2</v>
      </c>
      <c r="J153" s="280">
        <f t="shared" si="261"/>
        <v>-5.0670279978482301E-2</v>
      </c>
      <c r="K153" s="280">
        <f t="shared" si="261"/>
        <v>-4.19274299740163E-2</v>
      </c>
      <c r="L153" s="280">
        <f t="shared" si="261"/>
        <v>-3.6770554157118843E-2</v>
      </c>
      <c r="M153" s="280">
        <f t="shared" si="261"/>
        <v>-5.2957427958184589E-2</v>
      </c>
      <c r="N153" s="280">
        <f t="shared" ref="N153:O153" si="262">N152/N53</f>
        <v>-5.6306535440427824E-2</v>
      </c>
      <c r="O153" s="325">
        <f t="shared" si="262"/>
        <v>-5.0200841190680121E-2</v>
      </c>
      <c r="S153" s="128"/>
      <c r="T153" s="128"/>
      <c r="U153" s="128"/>
      <c r="V153" s="128"/>
      <c r="W153" s="128"/>
      <c r="X153" s="128"/>
      <c r="Y153" s="128"/>
      <c r="Z153" s="128"/>
      <c r="AA153" s="128"/>
      <c r="AB153" s="128"/>
      <c r="AC153" s="128"/>
      <c r="AI153" s="128"/>
      <c r="AJ153" s="128"/>
      <c r="AK153" s="128"/>
      <c r="AL153" s="128"/>
      <c r="AM153" s="128"/>
      <c r="AN153" s="128"/>
      <c r="AO153" s="128"/>
      <c r="AP153" s="128"/>
      <c r="AQ153" s="128"/>
      <c r="AR153" s="128"/>
      <c r="AS153" s="128"/>
      <c r="AT153" s="128"/>
      <c r="AU153" s="128"/>
      <c r="AV153" s="128"/>
      <c r="AW153" s="128"/>
      <c r="AX153" s="128"/>
      <c r="AY153" s="128"/>
      <c r="AZ153" s="128"/>
      <c r="BA153" s="128"/>
      <c r="BB153" s="128"/>
      <c r="BC153" s="128"/>
      <c r="BD153" s="128"/>
      <c r="BE153" s="128"/>
      <c r="BF153" s="128"/>
      <c r="BG153" s="128"/>
      <c r="BH153" s="128"/>
      <c r="BI153" s="128"/>
      <c r="BJ153" s="128"/>
    </row>
    <row r="154" spans="3:62" s="108" customFormat="1">
      <c r="C154" s="108" t="s">
        <v>564</v>
      </c>
      <c r="D154" s="108">
        <f t="shared" ref="D154:M154" si="263">D93-D54</f>
        <v>10933.1</v>
      </c>
      <c r="E154" s="108">
        <f t="shared" si="263"/>
        <v>-106.20000000000005</v>
      </c>
      <c r="F154" s="108">
        <f t="shared" si="263"/>
        <v>-855.5</v>
      </c>
      <c r="G154" s="108">
        <f t="shared" si="263"/>
        <v>-351.69999999999982</v>
      </c>
      <c r="H154" s="108">
        <f t="shared" si="263"/>
        <v>-1101.2999999999993</v>
      </c>
      <c r="I154" s="164">
        <f t="shared" si="263"/>
        <v>-11380.3</v>
      </c>
      <c r="J154" s="164">
        <f t="shared" si="263"/>
        <v>-10708.099999999999</v>
      </c>
      <c r="K154" s="164">
        <f t="shared" si="263"/>
        <v>-8682.5999999999985</v>
      </c>
      <c r="L154" s="164">
        <f t="shared" si="263"/>
        <v>-6493</v>
      </c>
      <c r="M154" s="164">
        <f t="shared" si="263"/>
        <v>-203.20000000000073</v>
      </c>
      <c r="N154" s="164">
        <f t="shared" ref="N154:O154" si="264">N93-N54</f>
        <v>959.89999999999964</v>
      </c>
      <c r="O154" s="164">
        <f t="shared" si="264"/>
        <v>-495.09999999999991</v>
      </c>
      <c r="P154" s="161"/>
      <c r="S154" s="107"/>
      <c r="T154" s="107"/>
      <c r="U154" s="107"/>
      <c r="V154" s="107"/>
      <c r="W154" s="107"/>
      <c r="X154" s="107"/>
      <c r="Y154" s="107"/>
      <c r="Z154" s="107"/>
      <c r="AA154" s="107"/>
      <c r="AB154" s="107"/>
      <c r="AC154" s="107"/>
      <c r="AI154" s="107"/>
      <c r="AJ154" s="107"/>
      <c r="AK154" s="107"/>
      <c r="AL154" s="107"/>
      <c r="AM154" s="107"/>
      <c r="AN154" s="107"/>
      <c r="AO154" s="107"/>
      <c r="AP154" s="107"/>
      <c r="AQ154" s="107"/>
      <c r="AR154" s="107"/>
      <c r="AS154" s="107"/>
      <c r="AT154" s="107"/>
      <c r="AU154" s="107"/>
      <c r="AV154" s="107"/>
      <c r="AW154" s="107"/>
      <c r="AX154" s="107"/>
      <c r="AY154" s="107"/>
      <c r="AZ154" s="107"/>
      <c r="BA154" s="107"/>
      <c r="BB154" s="107"/>
      <c r="BC154" s="107"/>
      <c r="BD154" s="107"/>
      <c r="BE154" s="107"/>
      <c r="BF154" s="107"/>
      <c r="BG154" s="107"/>
      <c r="BH154" s="107"/>
      <c r="BI154" s="107"/>
      <c r="BJ154" s="107"/>
    </row>
    <row r="155" spans="3:62" s="124" customFormat="1">
      <c r="C155" s="124" t="s">
        <v>565</v>
      </c>
      <c r="D155" s="124">
        <f t="shared" ref="D155:M155" si="265">D154/D54</f>
        <v>3.9046785714285717</v>
      </c>
      <c r="E155" s="124">
        <f t="shared" si="265"/>
        <v>-5.3100000000000022E-2</v>
      </c>
      <c r="F155" s="124">
        <f t="shared" si="265"/>
        <v>-0.32903846153846156</v>
      </c>
      <c r="G155" s="124">
        <f t="shared" si="265"/>
        <v>-4.3962499999999974E-2</v>
      </c>
      <c r="H155" s="124">
        <f t="shared" si="265"/>
        <v>-6.478235294117643E-2</v>
      </c>
      <c r="I155" s="165">
        <f t="shared" si="265"/>
        <v>-0.37934333333333331</v>
      </c>
      <c r="J155" s="165">
        <f t="shared" si="265"/>
        <v>-0.33462812499999994</v>
      </c>
      <c r="K155" s="165">
        <f t="shared" si="265"/>
        <v>-0.31009285714285711</v>
      </c>
      <c r="L155" s="165">
        <f t="shared" si="265"/>
        <v>-0.32464999999999999</v>
      </c>
      <c r="M155" s="165">
        <f t="shared" si="265"/>
        <v>-2.0320000000000074E-2</v>
      </c>
      <c r="N155" s="165">
        <f t="shared" ref="N155:O155" si="266">N154/N54</f>
        <v>0.19197999999999993</v>
      </c>
      <c r="O155" s="165">
        <f t="shared" si="266"/>
        <v>-0.16503333333333331</v>
      </c>
      <c r="S155" s="128"/>
      <c r="T155" s="128"/>
      <c r="U155" s="128"/>
      <c r="V155" s="128"/>
      <c r="W155" s="128"/>
      <c r="X155" s="128"/>
      <c r="Y155" s="128"/>
      <c r="Z155" s="128"/>
      <c r="AA155" s="128"/>
      <c r="AB155" s="128"/>
      <c r="AC155" s="128"/>
      <c r="AI155" s="128"/>
      <c r="AJ155" s="128"/>
      <c r="AK155" s="128"/>
      <c r="AL155" s="128"/>
      <c r="AM155" s="128"/>
      <c r="AN155" s="128"/>
      <c r="AO155" s="128"/>
      <c r="AP155" s="128"/>
      <c r="AQ155" s="128"/>
      <c r="AR155" s="128"/>
      <c r="AS155" s="128"/>
      <c r="AT155" s="128"/>
      <c r="AU155" s="128"/>
      <c r="AV155" s="128"/>
      <c r="AW155" s="128"/>
      <c r="AX155" s="128"/>
      <c r="AY155" s="128"/>
      <c r="AZ155" s="128"/>
      <c r="BA155" s="128"/>
      <c r="BB155" s="128"/>
      <c r="BC155" s="128"/>
      <c r="BD155" s="128"/>
      <c r="BE155" s="128"/>
      <c r="BF155" s="128"/>
      <c r="BG155" s="128"/>
      <c r="BH155" s="128"/>
      <c r="BI155" s="128"/>
      <c r="BJ155" s="128"/>
    </row>
    <row r="156" spans="3:62" s="108" customFormat="1">
      <c r="C156" s="108" t="s">
        <v>693</v>
      </c>
      <c r="D156" s="108">
        <f>D154</f>
        <v>10933.1</v>
      </c>
      <c r="E156" s="108">
        <f t="shared" ref="E156:J156" si="267">D156+E154</f>
        <v>10826.9</v>
      </c>
      <c r="F156" s="108">
        <f t="shared" si="267"/>
        <v>9971.4</v>
      </c>
      <c r="G156" s="108">
        <f t="shared" si="267"/>
        <v>9619.7000000000007</v>
      </c>
      <c r="H156" s="108">
        <f t="shared" si="267"/>
        <v>8518.4000000000015</v>
      </c>
      <c r="I156" s="164">
        <f t="shared" si="267"/>
        <v>-2861.8999999999978</v>
      </c>
      <c r="J156" s="164">
        <f t="shared" si="267"/>
        <v>-13569.999999999996</v>
      </c>
      <c r="K156" s="164">
        <f>J156+K154</f>
        <v>-22252.599999999995</v>
      </c>
      <c r="L156" s="164">
        <f>K156+L154</f>
        <v>-28745.599999999995</v>
      </c>
      <c r="M156" s="164">
        <f>L156+M154</f>
        <v>-28948.799999999996</v>
      </c>
      <c r="N156" s="164">
        <f>M156+N154</f>
        <v>-27988.899999999994</v>
      </c>
      <c r="O156" s="164">
        <f>N156+O154</f>
        <v>-28483.999999999993</v>
      </c>
      <c r="P156" s="161"/>
      <c r="S156" s="107"/>
      <c r="T156" s="107"/>
      <c r="U156" s="107"/>
      <c r="V156" s="107"/>
      <c r="W156" s="107"/>
      <c r="X156" s="107"/>
      <c r="Y156" s="107"/>
      <c r="Z156" s="107"/>
      <c r="AA156" s="107"/>
      <c r="AB156" s="107"/>
      <c r="AC156" s="107"/>
      <c r="AI156" s="107"/>
      <c r="AJ156" s="107"/>
      <c r="AK156" s="107"/>
      <c r="AL156" s="107"/>
      <c r="AM156" s="107"/>
      <c r="AN156" s="107"/>
      <c r="AO156" s="107"/>
      <c r="AP156" s="107"/>
      <c r="AQ156" s="107"/>
      <c r="AR156" s="107"/>
      <c r="AS156" s="107"/>
      <c r="AT156" s="107"/>
      <c r="AU156" s="107"/>
      <c r="AV156" s="107"/>
      <c r="AW156" s="107"/>
      <c r="AX156" s="107"/>
      <c r="AY156" s="107"/>
      <c r="AZ156" s="107"/>
      <c r="BA156" s="107"/>
      <c r="BB156" s="107"/>
      <c r="BC156" s="107"/>
      <c r="BD156" s="107"/>
      <c r="BE156" s="107"/>
      <c r="BF156" s="107"/>
      <c r="BG156" s="107"/>
      <c r="BH156" s="107"/>
      <c r="BI156" s="107"/>
      <c r="BJ156" s="107"/>
    </row>
    <row r="157" spans="3:62" s="124" customFormat="1">
      <c r="C157" s="128" t="s">
        <v>694</v>
      </c>
      <c r="D157" s="279">
        <f t="shared" ref="D157:M157" si="268">D156/D55</f>
        <v>3.9046785714285717</v>
      </c>
      <c r="E157" s="279">
        <f t="shared" si="268"/>
        <v>2.2556041666666666</v>
      </c>
      <c r="F157" s="279">
        <f t="shared" si="268"/>
        <v>1.3474864864864864</v>
      </c>
      <c r="G157" s="279">
        <f t="shared" si="268"/>
        <v>0.62465584415584419</v>
      </c>
      <c r="H157" s="279">
        <f t="shared" si="268"/>
        <v>0.26291358024691364</v>
      </c>
      <c r="I157" s="280">
        <f t="shared" si="268"/>
        <v>-4.5863782051282019E-2</v>
      </c>
      <c r="J157" s="280">
        <f t="shared" si="268"/>
        <v>-0.14374999999999996</v>
      </c>
      <c r="K157" s="280">
        <f t="shared" si="268"/>
        <v>-0.18180228758169931</v>
      </c>
      <c r="L157" s="280">
        <f t="shared" si="268"/>
        <v>-0.20186516853932582</v>
      </c>
      <c r="M157" s="280">
        <f t="shared" si="268"/>
        <v>-0.18995275590551178</v>
      </c>
      <c r="N157" s="280">
        <f t="shared" ref="N157:O157" si="269">N156/N55</f>
        <v>-0.17782020330368484</v>
      </c>
      <c r="O157" s="280">
        <f t="shared" si="269"/>
        <v>-0.17758104738154609</v>
      </c>
      <c r="S157" s="128"/>
      <c r="T157" s="128"/>
      <c r="U157" s="128"/>
      <c r="V157" s="128"/>
      <c r="W157" s="128"/>
      <c r="X157" s="128"/>
      <c r="Y157" s="128"/>
      <c r="Z157" s="128"/>
      <c r="AA157" s="128"/>
      <c r="AB157" s="128"/>
      <c r="AC157" s="128"/>
      <c r="AI157" s="128"/>
      <c r="AJ157" s="128"/>
      <c r="AK157" s="128"/>
      <c r="AL157" s="128"/>
      <c r="AM157" s="128"/>
      <c r="AN157" s="128"/>
      <c r="AO157" s="128"/>
      <c r="AP157" s="128"/>
      <c r="AQ157" s="128"/>
      <c r="AR157" s="128"/>
      <c r="AS157" s="128"/>
      <c r="AT157" s="128"/>
      <c r="AU157" s="128"/>
      <c r="AV157" s="128"/>
      <c r="AW157" s="128"/>
      <c r="AX157" s="128"/>
      <c r="AY157" s="128"/>
      <c r="AZ157" s="128"/>
      <c r="BA157" s="128"/>
      <c r="BB157" s="128"/>
      <c r="BC157" s="128"/>
      <c r="BD157" s="128"/>
      <c r="BE157" s="128"/>
      <c r="BF157" s="128"/>
      <c r="BG157" s="128"/>
      <c r="BH157" s="128"/>
      <c r="BI157" s="128"/>
      <c r="BJ157" s="128"/>
    </row>
    <row r="158" spans="3:62" s="124" customFormat="1">
      <c r="C158" s="108" t="s">
        <v>566</v>
      </c>
      <c r="D158" s="107">
        <f t="shared" ref="D158:M158" si="270">D95-D54</f>
        <v>10933.1</v>
      </c>
      <c r="E158" s="107">
        <f t="shared" si="270"/>
        <v>-106.20000000000005</v>
      </c>
      <c r="F158" s="107">
        <f t="shared" si="270"/>
        <v>-855.5</v>
      </c>
      <c r="G158" s="107">
        <f t="shared" si="270"/>
        <v>-574.26277495769864</v>
      </c>
      <c r="H158" s="107">
        <f t="shared" si="270"/>
        <v>-39.935499999999593</v>
      </c>
      <c r="I158" s="101">
        <f t="shared" si="270"/>
        <v>-10031.327385107619</v>
      </c>
      <c r="J158" s="101">
        <f t="shared" si="270"/>
        <v>-10128.776360097323</v>
      </c>
      <c r="K158" s="101">
        <f t="shared" si="270"/>
        <v>-8364.3192156862715</v>
      </c>
      <c r="L158" s="101">
        <f t="shared" si="270"/>
        <v>287.94506437767996</v>
      </c>
      <c r="M158" s="101">
        <f t="shared" si="270"/>
        <v>-528.03783783783729</v>
      </c>
      <c r="N158" s="101">
        <f t="shared" ref="N158:O158" si="271">N95-N54</f>
        <v>959.89999999999964</v>
      </c>
      <c r="O158" s="101">
        <f t="shared" si="271"/>
        <v>-495.09999999999991</v>
      </c>
      <c r="S158" s="107"/>
      <c r="T158" s="128"/>
      <c r="U158" s="128"/>
      <c r="V158" s="128"/>
      <c r="W158" s="128"/>
      <c r="X158" s="128"/>
      <c r="Y158" s="128"/>
      <c r="Z158" s="128"/>
      <c r="AA158" s="128"/>
      <c r="AB158" s="128"/>
      <c r="AC158" s="128"/>
      <c r="AI158" s="107"/>
      <c r="AJ158" s="128"/>
      <c r="AK158" s="128"/>
      <c r="AL158" s="128"/>
      <c r="AM158" s="128"/>
      <c r="AN158" s="128"/>
      <c r="AO158" s="128"/>
      <c r="AP158" s="128"/>
      <c r="AQ158" s="128"/>
      <c r="AR158" s="128"/>
      <c r="AS158" s="128"/>
      <c r="AT158" s="128"/>
      <c r="AU158" s="128"/>
      <c r="AV158" s="128"/>
      <c r="AW158" s="107"/>
      <c r="AX158" s="128"/>
      <c r="AY158" s="128"/>
      <c r="AZ158" s="128"/>
      <c r="BA158" s="128"/>
      <c r="BB158" s="128"/>
      <c r="BC158" s="128"/>
      <c r="BD158" s="128"/>
      <c r="BE158" s="128"/>
      <c r="BF158" s="128"/>
      <c r="BG158" s="128"/>
      <c r="BH158" s="128"/>
      <c r="BI158" s="128"/>
      <c r="BJ158" s="128"/>
    </row>
    <row r="159" spans="3:62" s="124" customFormat="1">
      <c r="C159" s="124" t="s">
        <v>567</v>
      </c>
      <c r="D159" s="128">
        <f t="shared" ref="D159:M159" si="272">D158/D54</f>
        <v>3.9046785714285717</v>
      </c>
      <c r="E159" s="128">
        <f t="shared" si="272"/>
        <v>-5.3100000000000022E-2</v>
      </c>
      <c r="F159" s="128">
        <f t="shared" si="272"/>
        <v>-0.32903846153846156</v>
      </c>
      <c r="G159" s="128">
        <f t="shared" si="272"/>
        <v>-7.1782846869712327E-2</v>
      </c>
      <c r="H159" s="128">
        <f t="shared" si="272"/>
        <v>-2.3491470588235053E-3</v>
      </c>
      <c r="I159" s="294">
        <f t="shared" si="272"/>
        <v>-0.33437757950358732</v>
      </c>
      <c r="J159" s="294">
        <f t="shared" si="272"/>
        <v>-0.31652426125304134</v>
      </c>
      <c r="K159" s="294">
        <f t="shared" si="272"/>
        <v>-0.29872568627450968</v>
      </c>
      <c r="L159" s="294">
        <f t="shared" si="272"/>
        <v>1.4397253218883998E-2</v>
      </c>
      <c r="M159" s="294">
        <f t="shared" si="272"/>
        <v>-5.2803783783783725E-2</v>
      </c>
      <c r="N159" s="294">
        <f t="shared" ref="N159:O159" si="273">N158/N54</f>
        <v>0.19197999999999993</v>
      </c>
      <c r="O159" s="294">
        <f t="shared" si="273"/>
        <v>-0.16503333333333331</v>
      </c>
      <c r="S159" s="128"/>
      <c r="T159" s="128"/>
      <c r="U159" s="128"/>
      <c r="V159" s="128"/>
      <c r="W159" s="128"/>
      <c r="X159" s="128"/>
      <c r="Y159" s="128"/>
      <c r="Z159" s="128"/>
      <c r="AA159" s="128"/>
      <c r="AB159" s="128"/>
      <c r="AC159" s="128"/>
      <c r="AI159" s="128"/>
      <c r="AJ159" s="128"/>
      <c r="AK159" s="128"/>
      <c r="AL159" s="128"/>
      <c r="AM159" s="128"/>
      <c r="AN159" s="128"/>
      <c r="AO159" s="128"/>
      <c r="AP159" s="128"/>
      <c r="AQ159" s="128"/>
      <c r="AR159" s="128"/>
      <c r="AS159" s="128"/>
      <c r="AT159" s="128"/>
      <c r="AU159" s="128"/>
      <c r="AV159" s="128"/>
      <c r="AW159" s="128"/>
      <c r="AX159" s="128"/>
      <c r="AY159" s="128"/>
      <c r="AZ159" s="128"/>
      <c r="BA159" s="128"/>
      <c r="BB159" s="128"/>
      <c r="BC159" s="128"/>
      <c r="BD159" s="128"/>
      <c r="BE159" s="128"/>
      <c r="BF159" s="128"/>
      <c r="BG159" s="128"/>
      <c r="BH159" s="128"/>
      <c r="BI159" s="128"/>
      <c r="BJ159" s="128"/>
    </row>
    <row r="160" spans="3:62" s="124" customFormat="1">
      <c r="C160" s="108" t="s">
        <v>695</v>
      </c>
      <c r="D160" s="107">
        <f>D158</f>
        <v>10933.1</v>
      </c>
      <c r="E160" s="107">
        <f t="shared" ref="E160:J160" si="274">D160+E158</f>
        <v>10826.9</v>
      </c>
      <c r="F160" s="107">
        <f t="shared" si="274"/>
        <v>9971.4</v>
      </c>
      <c r="G160" s="107">
        <f t="shared" si="274"/>
        <v>9397.137225042301</v>
      </c>
      <c r="H160" s="107">
        <f t="shared" si="274"/>
        <v>9357.2017250423014</v>
      </c>
      <c r="I160" s="101">
        <f t="shared" si="274"/>
        <v>-674.12566006531779</v>
      </c>
      <c r="J160" s="101">
        <f t="shared" si="274"/>
        <v>-10802.902020162641</v>
      </c>
      <c r="K160" s="101">
        <f>J160+K158</f>
        <v>-19167.221235848912</v>
      </c>
      <c r="L160" s="101">
        <f>K160+L158</f>
        <v>-18879.276171471232</v>
      </c>
      <c r="M160" s="101">
        <f>L160+M158</f>
        <v>-19407.31400930907</v>
      </c>
      <c r="N160" s="101">
        <f>M160+N158</f>
        <v>-18447.414009309068</v>
      </c>
      <c r="O160" s="101">
        <f>N160+O158</f>
        <v>-18942.514009309067</v>
      </c>
      <c r="S160" s="107"/>
      <c r="T160" s="128"/>
      <c r="U160" s="128"/>
      <c r="V160" s="128"/>
      <c r="W160" s="128"/>
      <c r="X160" s="128"/>
      <c r="Y160" s="128"/>
      <c r="Z160" s="128"/>
      <c r="AA160" s="128"/>
      <c r="AB160" s="128"/>
      <c r="AC160" s="128"/>
      <c r="AI160" s="107"/>
      <c r="AJ160" s="128"/>
      <c r="AK160" s="128"/>
      <c r="AL160" s="128"/>
      <c r="AM160" s="128"/>
      <c r="AN160" s="128"/>
      <c r="AO160" s="128"/>
      <c r="AP160" s="128"/>
      <c r="AQ160" s="128"/>
      <c r="AR160" s="128"/>
      <c r="AS160" s="128"/>
      <c r="AT160" s="128"/>
      <c r="AU160" s="128"/>
      <c r="AV160" s="128"/>
      <c r="AW160" s="107"/>
      <c r="AX160" s="128"/>
      <c r="AY160" s="128"/>
      <c r="AZ160" s="128"/>
      <c r="BA160" s="128"/>
      <c r="BB160" s="128"/>
      <c r="BC160" s="128"/>
      <c r="BD160" s="128"/>
      <c r="BE160" s="128"/>
      <c r="BF160" s="128"/>
      <c r="BG160" s="128"/>
      <c r="BH160" s="128"/>
      <c r="BI160" s="128"/>
      <c r="BJ160" s="128"/>
    </row>
    <row r="161" spans="3:62" s="124" customFormat="1">
      <c r="C161" s="128" t="s">
        <v>696</v>
      </c>
      <c r="D161" s="279">
        <f t="shared" ref="D161:M161" si="275">D160/D55</f>
        <v>3.9046785714285717</v>
      </c>
      <c r="E161" s="279">
        <f t="shared" si="275"/>
        <v>2.2556041666666666</v>
      </c>
      <c r="F161" s="279">
        <f t="shared" si="275"/>
        <v>1.3474864864864864</v>
      </c>
      <c r="G161" s="279">
        <f t="shared" si="275"/>
        <v>0.61020371591183775</v>
      </c>
      <c r="H161" s="279">
        <f t="shared" si="275"/>
        <v>0.28880252237784881</v>
      </c>
      <c r="I161" s="280">
        <f t="shared" si="275"/>
        <v>-1.0803295834380092E-2</v>
      </c>
      <c r="J161" s="280">
        <f t="shared" si="275"/>
        <v>-0.11443752140002797</v>
      </c>
      <c r="K161" s="280">
        <f t="shared" si="275"/>
        <v>-0.15659494473732771</v>
      </c>
      <c r="L161" s="280">
        <f t="shared" si="275"/>
        <v>-0.13257918659741033</v>
      </c>
      <c r="M161" s="280">
        <f t="shared" si="275"/>
        <v>-0.12734458011357658</v>
      </c>
      <c r="N161" s="280">
        <f t="shared" ref="N161:O161" si="276">N160/N55</f>
        <v>-0.11720085139332317</v>
      </c>
      <c r="O161" s="280">
        <f t="shared" si="276"/>
        <v>-0.11809547387349792</v>
      </c>
      <c r="S161" s="128"/>
      <c r="T161" s="128"/>
      <c r="U161" s="128"/>
      <c r="V161" s="128"/>
      <c r="W161" s="128"/>
      <c r="X161" s="128"/>
      <c r="Y161" s="128"/>
      <c r="Z161" s="128"/>
      <c r="AA161" s="128"/>
      <c r="AB161" s="128"/>
      <c r="AC161" s="128"/>
      <c r="AI161" s="128"/>
      <c r="AJ161" s="128"/>
      <c r="AK161" s="128"/>
      <c r="AL161" s="128"/>
      <c r="AM161" s="128"/>
      <c r="AN161" s="128"/>
      <c r="AO161" s="128"/>
      <c r="AP161" s="128"/>
      <c r="AQ161" s="128"/>
      <c r="AR161" s="128"/>
      <c r="AS161" s="128"/>
      <c r="AT161" s="128"/>
      <c r="AU161" s="128"/>
      <c r="AV161" s="128"/>
      <c r="AW161" s="128"/>
      <c r="AX161" s="128"/>
      <c r="AY161" s="128"/>
      <c r="AZ161" s="128"/>
      <c r="BA161" s="128"/>
      <c r="BB161" s="128"/>
      <c r="BC161" s="128"/>
      <c r="BD161" s="128"/>
      <c r="BE161" s="128"/>
      <c r="BF161" s="128"/>
      <c r="BG161" s="128"/>
      <c r="BH161" s="128"/>
      <c r="BI161" s="128"/>
      <c r="BJ161" s="128"/>
    </row>
    <row r="162" spans="3:62" s="124" customFormat="1">
      <c r="C162" s="108" t="s">
        <v>921</v>
      </c>
      <c r="D162" s="108">
        <f>D97-D58</f>
        <v>-5.7000000000000455</v>
      </c>
      <c r="E162" s="108">
        <f>E97-E58</f>
        <v>432.70000000000005</v>
      </c>
      <c r="F162" s="128"/>
      <c r="G162" s="128"/>
      <c r="H162" s="128"/>
      <c r="I162" s="294"/>
      <c r="J162" s="294"/>
      <c r="K162" s="294"/>
      <c r="L162" s="294"/>
      <c r="M162" s="294"/>
      <c r="N162" s="294"/>
      <c r="O162" s="294"/>
      <c r="S162" s="128"/>
      <c r="T162" s="128"/>
      <c r="U162" s="128"/>
      <c r="V162" s="128"/>
      <c r="W162" s="128"/>
      <c r="X162" s="128"/>
      <c r="Y162" s="128"/>
      <c r="Z162" s="128"/>
      <c r="AA162" s="128"/>
      <c r="AB162" s="128"/>
      <c r="AC162" s="128"/>
      <c r="AI162" s="128"/>
      <c r="AJ162" s="128"/>
      <c r="AK162" s="128"/>
      <c r="AL162" s="128"/>
      <c r="AM162" s="128"/>
      <c r="AN162" s="128"/>
      <c r="AO162" s="128"/>
      <c r="AP162" s="128"/>
      <c r="AQ162" s="128"/>
      <c r="AR162" s="128"/>
      <c r="AS162" s="128"/>
      <c r="AT162" s="128"/>
      <c r="AU162" s="128"/>
      <c r="AV162" s="128"/>
      <c r="AW162" s="128"/>
      <c r="AX162" s="128"/>
      <c r="AY162" s="128"/>
      <c r="AZ162" s="128"/>
      <c r="BA162" s="128"/>
      <c r="BB162" s="128"/>
      <c r="BC162" s="128"/>
      <c r="BD162" s="128"/>
      <c r="BE162" s="128"/>
      <c r="BF162" s="128"/>
      <c r="BG162" s="128"/>
      <c r="BH162" s="128"/>
      <c r="BI162" s="128"/>
      <c r="BJ162" s="128"/>
    </row>
    <row r="163" spans="3:62" s="124" customFormat="1">
      <c r="C163" s="124" t="s">
        <v>922</v>
      </c>
      <c r="D163" s="124">
        <f>D162/D97</f>
        <v>-4.7726701833710507E-3</v>
      </c>
      <c r="E163" s="124">
        <f>E162/E97</f>
        <v>0.26502113064249405</v>
      </c>
      <c r="F163" s="128"/>
      <c r="G163" s="128"/>
      <c r="H163" s="128"/>
      <c r="I163" s="294"/>
      <c r="J163" s="294"/>
      <c r="K163" s="294"/>
      <c r="L163" s="294"/>
      <c r="M163" s="294"/>
      <c r="N163" s="294"/>
      <c r="O163" s="294"/>
      <c r="S163" s="128"/>
      <c r="T163" s="128"/>
      <c r="U163" s="128"/>
      <c r="V163" s="128"/>
      <c r="W163" s="128"/>
      <c r="X163" s="128"/>
      <c r="Y163" s="128"/>
      <c r="Z163" s="128"/>
      <c r="AA163" s="128"/>
      <c r="AB163" s="128"/>
      <c r="AC163" s="128"/>
      <c r="AI163" s="128"/>
      <c r="AJ163" s="128"/>
      <c r="AK163" s="128"/>
      <c r="AL163" s="128"/>
      <c r="AM163" s="128"/>
      <c r="AN163" s="128"/>
      <c r="AO163" s="128"/>
      <c r="AP163" s="128"/>
      <c r="AQ163" s="128"/>
      <c r="AR163" s="128"/>
      <c r="AS163" s="128"/>
      <c r="AT163" s="128"/>
      <c r="AU163" s="128"/>
      <c r="AV163" s="128"/>
      <c r="AW163" s="128"/>
      <c r="AX163" s="128"/>
      <c r="AY163" s="128"/>
      <c r="AZ163" s="128"/>
      <c r="BA163" s="128"/>
      <c r="BB163" s="128"/>
      <c r="BC163" s="128"/>
      <c r="BD163" s="128"/>
      <c r="BE163" s="128"/>
      <c r="BF163" s="128"/>
      <c r="BG163" s="128"/>
      <c r="BH163" s="128"/>
      <c r="BI163" s="128"/>
      <c r="BJ163" s="128"/>
    </row>
    <row r="164" spans="3:62" s="124" customFormat="1">
      <c r="C164" s="108" t="s">
        <v>923</v>
      </c>
      <c r="D164" s="107">
        <f>D98-D59</f>
        <v>-5.7000000000000455</v>
      </c>
      <c r="E164" s="107">
        <f>E98-E59</f>
        <v>427</v>
      </c>
      <c r="F164" s="128"/>
      <c r="G164" s="128"/>
      <c r="H164" s="128"/>
      <c r="I164" s="294"/>
      <c r="J164" s="294"/>
      <c r="K164" s="294"/>
      <c r="L164" s="294"/>
      <c r="M164" s="294"/>
      <c r="N164" s="294"/>
      <c r="O164" s="294"/>
      <c r="S164" s="128"/>
      <c r="T164" s="128"/>
      <c r="U164" s="128"/>
      <c r="V164" s="128"/>
      <c r="W164" s="128"/>
      <c r="X164" s="128"/>
      <c r="Y164" s="128"/>
      <c r="Z164" s="128"/>
      <c r="AA164" s="128"/>
      <c r="AB164" s="128"/>
      <c r="AC164" s="128"/>
      <c r="AI164" s="128"/>
      <c r="AJ164" s="128"/>
      <c r="AK164" s="128"/>
      <c r="AL164" s="128"/>
      <c r="AM164" s="128"/>
      <c r="AN164" s="128"/>
      <c r="AO164" s="128"/>
      <c r="AP164" s="128"/>
      <c r="AQ164" s="128"/>
      <c r="AR164" s="128"/>
      <c r="AS164" s="128"/>
      <c r="AT164" s="128"/>
      <c r="AU164" s="128"/>
      <c r="AV164" s="128"/>
      <c r="AW164" s="128"/>
      <c r="AX164" s="128"/>
      <c r="AY164" s="128"/>
      <c r="AZ164" s="128"/>
      <c r="BA164" s="128"/>
      <c r="BB164" s="128"/>
      <c r="BC164" s="128"/>
      <c r="BD164" s="128"/>
      <c r="BE164" s="128"/>
      <c r="BF164" s="128"/>
      <c r="BG164" s="128"/>
      <c r="BH164" s="128"/>
      <c r="BI164" s="128"/>
      <c r="BJ164" s="128"/>
    </row>
    <row r="165" spans="3:62" s="124" customFormat="1">
      <c r="C165" s="128" t="s">
        <v>924</v>
      </c>
      <c r="D165" s="128">
        <f>D164/D98</f>
        <v>-4.7726701833710507E-3</v>
      </c>
      <c r="E165" s="128">
        <f>E164/E98</f>
        <v>0.15104350902016273</v>
      </c>
      <c r="F165" s="128"/>
      <c r="G165" s="128"/>
      <c r="H165" s="128"/>
      <c r="I165" s="294"/>
      <c r="J165" s="294"/>
      <c r="K165" s="294"/>
      <c r="L165" s="294"/>
      <c r="M165" s="294"/>
      <c r="N165" s="294"/>
      <c r="O165" s="294"/>
      <c r="S165" s="128"/>
      <c r="T165" s="128"/>
      <c r="U165" s="128"/>
      <c r="V165" s="128"/>
      <c r="W165" s="128"/>
      <c r="X165" s="128"/>
      <c r="Y165" s="128"/>
      <c r="Z165" s="128"/>
      <c r="AA165" s="128"/>
      <c r="AB165" s="128"/>
      <c r="AC165" s="128"/>
      <c r="AI165" s="128"/>
      <c r="AJ165" s="128"/>
      <c r="AK165" s="128"/>
      <c r="AL165" s="128"/>
      <c r="AM165" s="128"/>
      <c r="AN165" s="128"/>
      <c r="AO165" s="128"/>
      <c r="AP165" s="128"/>
      <c r="AQ165" s="128"/>
      <c r="AR165" s="128"/>
      <c r="AS165" s="128"/>
      <c r="AT165" s="128"/>
      <c r="AU165" s="128"/>
      <c r="AV165" s="128"/>
      <c r="AW165" s="128"/>
      <c r="AX165" s="128"/>
      <c r="AY165" s="128"/>
      <c r="AZ165" s="128"/>
      <c r="BA165" s="128"/>
      <c r="BB165" s="128"/>
      <c r="BC165" s="128"/>
      <c r="BD165" s="128"/>
      <c r="BE165" s="128"/>
      <c r="BF165" s="128"/>
      <c r="BG165" s="128"/>
      <c r="BH165" s="128"/>
      <c r="BI165" s="128"/>
      <c r="BJ165" s="128"/>
    </row>
    <row r="166" spans="3:62" s="124" customFormat="1">
      <c r="C166" s="108" t="s">
        <v>925</v>
      </c>
      <c r="D166" s="128"/>
      <c r="E166" s="128"/>
      <c r="F166" s="128"/>
      <c r="G166" s="128"/>
      <c r="H166" s="128"/>
      <c r="I166" s="294"/>
      <c r="J166" s="294"/>
      <c r="K166" s="294"/>
      <c r="L166" s="294"/>
      <c r="M166" s="294"/>
      <c r="N166" s="294"/>
      <c r="O166" s="294"/>
      <c r="S166" s="128"/>
      <c r="T166" s="128"/>
      <c r="U166" s="128"/>
      <c r="V166" s="128"/>
      <c r="W166" s="128"/>
      <c r="X166" s="128"/>
      <c r="Y166" s="128"/>
      <c r="Z166" s="128"/>
      <c r="AA166" s="128"/>
      <c r="AB166" s="128"/>
      <c r="AC166" s="128"/>
      <c r="AI166" s="128"/>
      <c r="AJ166" s="128"/>
      <c r="AK166" s="128"/>
      <c r="AL166" s="128"/>
      <c r="AM166" s="128"/>
      <c r="AN166" s="128"/>
      <c r="AO166" s="128"/>
      <c r="AP166" s="128"/>
      <c r="AQ166" s="128"/>
      <c r="AR166" s="128"/>
      <c r="AS166" s="128"/>
      <c r="AT166" s="128"/>
      <c r="AU166" s="128"/>
      <c r="AV166" s="128"/>
      <c r="AW166" s="128"/>
      <c r="AX166" s="128"/>
      <c r="AY166" s="128"/>
      <c r="AZ166" s="128"/>
      <c r="BA166" s="128"/>
      <c r="BB166" s="128"/>
      <c r="BC166" s="128"/>
      <c r="BD166" s="128"/>
      <c r="BE166" s="128"/>
      <c r="BF166" s="128"/>
      <c r="BG166" s="128"/>
      <c r="BH166" s="128"/>
      <c r="BI166" s="128"/>
      <c r="BJ166" s="128"/>
    </row>
    <row r="167" spans="3:62" s="124" customFormat="1">
      <c r="C167" s="124" t="s">
        <v>926</v>
      </c>
      <c r="D167" s="128"/>
      <c r="E167" s="128"/>
      <c r="F167" s="128"/>
      <c r="G167" s="128"/>
      <c r="H167" s="128"/>
      <c r="I167" s="294"/>
      <c r="J167" s="294"/>
      <c r="K167" s="294"/>
      <c r="L167" s="294"/>
      <c r="M167" s="294"/>
      <c r="N167" s="294"/>
      <c r="O167" s="294"/>
      <c r="S167" s="128"/>
      <c r="T167" s="128"/>
      <c r="U167" s="128"/>
      <c r="V167" s="128"/>
      <c r="W167" s="128"/>
      <c r="X167" s="128"/>
      <c r="Y167" s="128"/>
      <c r="Z167" s="128"/>
      <c r="AA167" s="128"/>
      <c r="AB167" s="128"/>
      <c r="AC167" s="128"/>
      <c r="AI167" s="128"/>
      <c r="AJ167" s="128"/>
      <c r="AK167" s="128"/>
      <c r="AL167" s="128"/>
      <c r="AM167" s="128"/>
      <c r="AN167" s="128"/>
      <c r="AO167" s="128"/>
      <c r="AP167" s="128"/>
      <c r="AQ167" s="128"/>
      <c r="AR167" s="128"/>
      <c r="AS167" s="128"/>
      <c r="AT167" s="128"/>
      <c r="AU167" s="128"/>
      <c r="AV167" s="128"/>
      <c r="AW167" s="128"/>
      <c r="AX167" s="128"/>
      <c r="AY167" s="128"/>
      <c r="AZ167" s="128"/>
      <c r="BA167" s="128"/>
      <c r="BB167" s="128"/>
      <c r="BC167" s="128"/>
      <c r="BD167" s="128"/>
      <c r="BE167" s="128"/>
      <c r="BF167" s="128"/>
      <c r="BG167" s="128"/>
      <c r="BH167" s="128"/>
      <c r="BI167" s="128"/>
      <c r="BJ167" s="128"/>
    </row>
    <row r="168" spans="3:62" s="124" customFormat="1">
      <c r="C168" s="108" t="s">
        <v>927</v>
      </c>
      <c r="D168" s="128"/>
      <c r="E168" s="128"/>
      <c r="F168" s="128"/>
      <c r="G168" s="128"/>
      <c r="H168" s="128"/>
      <c r="I168" s="294"/>
      <c r="J168" s="294"/>
      <c r="K168" s="294"/>
      <c r="L168" s="294"/>
      <c r="M168" s="294"/>
      <c r="N168" s="294"/>
      <c r="O168" s="294"/>
      <c r="S168" s="128"/>
      <c r="T168" s="128"/>
      <c r="U168" s="128"/>
      <c r="V168" s="128"/>
      <c r="W168" s="128"/>
      <c r="X168" s="128"/>
      <c r="Y168" s="128"/>
      <c r="Z168" s="128"/>
      <c r="AA168" s="128"/>
      <c r="AB168" s="128"/>
      <c r="AC168" s="128"/>
      <c r="AI168" s="128"/>
      <c r="AJ168" s="128"/>
      <c r="AK168" s="128"/>
      <c r="AL168" s="128"/>
      <c r="AM168" s="128"/>
      <c r="AN168" s="128"/>
      <c r="AO168" s="128"/>
      <c r="AP168" s="128"/>
      <c r="AQ168" s="128"/>
      <c r="AR168" s="128"/>
      <c r="AS168" s="128"/>
      <c r="AT168" s="128"/>
      <c r="AU168" s="128"/>
      <c r="AV168" s="128"/>
      <c r="AW168" s="128"/>
      <c r="AX168" s="128"/>
      <c r="AY168" s="128"/>
      <c r="AZ168" s="128"/>
      <c r="BA168" s="128"/>
      <c r="BB168" s="128"/>
      <c r="BC168" s="128"/>
      <c r="BD168" s="128"/>
      <c r="BE168" s="128"/>
      <c r="BF168" s="128"/>
      <c r="BG168" s="128"/>
      <c r="BH168" s="128"/>
      <c r="BI168" s="128"/>
      <c r="BJ168" s="128"/>
    </row>
    <row r="169" spans="3:62" s="124" customFormat="1">
      <c r="C169" s="128" t="s">
        <v>928</v>
      </c>
      <c r="D169" s="128"/>
      <c r="E169" s="128"/>
      <c r="F169" s="128"/>
      <c r="G169" s="128"/>
      <c r="H169" s="128"/>
      <c r="I169" s="294"/>
      <c r="J169" s="294"/>
      <c r="K169" s="294"/>
      <c r="L169" s="294"/>
      <c r="M169" s="294"/>
      <c r="N169" s="294"/>
      <c r="O169" s="294"/>
      <c r="S169" s="128"/>
      <c r="T169" s="128"/>
      <c r="U169" s="128"/>
      <c r="V169" s="128"/>
      <c r="W169" s="128"/>
      <c r="X169" s="128"/>
      <c r="Y169" s="128"/>
      <c r="Z169" s="128"/>
      <c r="AA169" s="128"/>
      <c r="AB169" s="128"/>
      <c r="AC169" s="128"/>
      <c r="AI169" s="128"/>
      <c r="AJ169" s="128"/>
      <c r="AK169" s="128"/>
      <c r="AL169" s="128"/>
      <c r="AM169" s="128"/>
      <c r="AN169" s="128"/>
      <c r="AO169" s="128"/>
      <c r="AP169" s="128"/>
      <c r="AQ169" s="128"/>
      <c r="AR169" s="128"/>
      <c r="AS169" s="128"/>
      <c r="AT169" s="128"/>
      <c r="AU169" s="128"/>
      <c r="AV169" s="128"/>
      <c r="AW169" s="128"/>
      <c r="AX169" s="128"/>
      <c r="AY169" s="128"/>
      <c r="AZ169" s="128"/>
      <c r="BA169" s="128"/>
      <c r="BB169" s="128"/>
      <c r="BC169" s="128"/>
      <c r="BD169" s="128"/>
      <c r="BE169" s="128"/>
      <c r="BF169" s="128"/>
      <c r="BG169" s="128"/>
      <c r="BH169" s="128"/>
      <c r="BI169" s="128"/>
      <c r="BJ169" s="128"/>
    </row>
    <row r="170" spans="3:62" s="108" customFormat="1">
      <c r="C170" s="108" t="s">
        <v>417</v>
      </c>
      <c r="D170" s="108">
        <f t="shared" ref="D170:I170" si="277">D99-D60</f>
        <v>-18116.299999999988</v>
      </c>
      <c r="E170" s="108">
        <f t="shared" si="277"/>
        <v>6809.8999999999942</v>
      </c>
      <c r="F170" s="108">
        <f t="shared" si="277"/>
        <v>8006.5</v>
      </c>
      <c r="G170" s="108">
        <f t="shared" si="277"/>
        <v>6568.7999999999884</v>
      </c>
      <c r="H170" s="108">
        <f t="shared" si="277"/>
        <v>3472.5</v>
      </c>
      <c r="I170" s="164">
        <f t="shared" si="277"/>
        <v>-52213.099999999977</v>
      </c>
      <c r="J170" s="164">
        <f t="shared" ref="J170:O170" si="278">J99-J60</f>
        <v>-60616.799999999988</v>
      </c>
      <c r="K170" s="164">
        <f t="shared" si="278"/>
        <v>1778.7999999999884</v>
      </c>
      <c r="L170" s="164">
        <f t="shared" si="278"/>
        <v>-14882.299999999988</v>
      </c>
      <c r="M170" s="164">
        <f t="shared" si="278"/>
        <v>-31086.700000000012</v>
      </c>
      <c r="N170" s="164">
        <f t="shared" si="278"/>
        <v>10207.399999999994</v>
      </c>
      <c r="O170" s="164">
        <f t="shared" si="278"/>
        <v>-14258.600000000006</v>
      </c>
      <c r="P170" s="161"/>
      <c r="S170" s="107"/>
      <c r="T170" s="107"/>
      <c r="U170" s="107"/>
      <c r="V170" s="107"/>
      <c r="W170" s="107"/>
      <c r="X170" s="107"/>
      <c r="Y170" s="107"/>
      <c r="Z170" s="107"/>
      <c r="AA170" s="107"/>
      <c r="AB170" s="107"/>
      <c r="AC170" s="107"/>
      <c r="AI170" s="107"/>
      <c r="AJ170" s="107"/>
      <c r="AK170" s="107"/>
      <c r="AL170" s="107"/>
      <c r="AM170" s="107"/>
      <c r="AN170" s="107"/>
      <c r="AO170" s="107"/>
      <c r="AP170" s="107"/>
      <c r="AQ170" s="107"/>
      <c r="AR170" s="107"/>
      <c r="AS170" s="107"/>
      <c r="AT170" s="107"/>
      <c r="AU170" s="107"/>
      <c r="AV170" s="107"/>
      <c r="AW170" s="107"/>
      <c r="AX170" s="107"/>
      <c r="AY170" s="107"/>
      <c r="AZ170" s="107"/>
      <c r="BA170" s="107"/>
      <c r="BB170" s="107"/>
      <c r="BC170" s="107"/>
      <c r="BD170" s="107"/>
      <c r="BE170" s="107"/>
      <c r="BF170" s="107"/>
      <c r="BG170" s="107"/>
      <c r="BH170" s="107"/>
      <c r="BI170" s="107"/>
      <c r="BJ170" s="107"/>
    </row>
    <row r="171" spans="3:62" s="124" customFormat="1">
      <c r="C171" s="124" t="s">
        <v>418</v>
      </c>
      <c r="D171" s="124">
        <f t="shared" ref="D171:M171" si="279">D170/D60</f>
        <v>-8.2346818181818132E-2</v>
      </c>
      <c r="E171" s="124">
        <f t="shared" si="279"/>
        <v>2.9608260869565192E-2</v>
      </c>
      <c r="F171" s="124">
        <f t="shared" si="279"/>
        <v>3.2679591836734696E-2</v>
      </c>
      <c r="G171" s="124">
        <f t="shared" si="279"/>
        <v>2.526461538461534E-2</v>
      </c>
      <c r="H171" s="124">
        <f t="shared" si="279"/>
        <v>1.1201612903225806E-2</v>
      </c>
      <c r="I171" s="165">
        <f t="shared" si="279"/>
        <v>-0.13387974358974353</v>
      </c>
      <c r="J171" s="165">
        <f t="shared" si="279"/>
        <v>-0.14784585365853656</v>
      </c>
      <c r="K171" s="165">
        <f t="shared" si="279"/>
        <v>5.3903030303029953E-3</v>
      </c>
      <c r="L171" s="165">
        <f t="shared" si="279"/>
        <v>-4.9607666666666626E-2</v>
      </c>
      <c r="M171" s="165">
        <f t="shared" si="279"/>
        <v>-0.10719551724137935</v>
      </c>
      <c r="N171" s="165">
        <f t="shared" ref="N171:O171" si="280">N170/N60</f>
        <v>4.4379999999999975E-2</v>
      </c>
      <c r="O171" s="165">
        <f t="shared" si="280"/>
        <v>-5.9410833333333357E-2</v>
      </c>
      <c r="S171" s="128"/>
      <c r="T171" s="128"/>
      <c r="U171" s="128"/>
      <c r="V171" s="128"/>
      <c r="W171" s="128"/>
      <c r="X171" s="128"/>
      <c r="Y171" s="128"/>
      <c r="Z171" s="128"/>
      <c r="AA171" s="128"/>
      <c r="AB171" s="128"/>
      <c r="AC171" s="128"/>
      <c r="AI171" s="128"/>
      <c r="AJ171" s="128"/>
      <c r="AK171" s="128"/>
      <c r="AL171" s="128"/>
      <c r="AM171" s="128"/>
      <c r="AN171" s="128"/>
      <c r="AO171" s="128"/>
      <c r="AP171" s="128"/>
      <c r="AQ171" s="128"/>
      <c r="AR171" s="128"/>
      <c r="AS171" s="128"/>
      <c r="AT171" s="128"/>
      <c r="AU171" s="128"/>
      <c r="AV171" s="128"/>
      <c r="AW171" s="128"/>
      <c r="AX171" s="128"/>
      <c r="AY171" s="128"/>
      <c r="AZ171" s="128"/>
      <c r="BA171" s="128"/>
      <c r="BB171" s="128"/>
      <c r="BC171" s="128"/>
      <c r="BD171" s="128"/>
      <c r="BE171" s="128"/>
      <c r="BF171" s="128"/>
      <c r="BG171" s="128"/>
      <c r="BH171" s="128"/>
      <c r="BI171" s="128"/>
      <c r="BJ171" s="128"/>
    </row>
    <row r="172" spans="3:62" s="108" customFormat="1">
      <c r="C172" s="108" t="s">
        <v>697</v>
      </c>
      <c r="D172" s="108">
        <f>D170</f>
        <v>-18116.299999999988</v>
      </c>
      <c r="E172" s="108">
        <f t="shared" ref="E172:J172" si="281">D172+E170</f>
        <v>-11306.399999999994</v>
      </c>
      <c r="F172" s="108">
        <f t="shared" si="281"/>
        <v>-3299.8999999999942</v>
      </c>
      <c r="G172" s="108">
        <f t="shared" si="281"/>
        <v>3268.8999999999942</v>
      </c>
      <c r="H172" s="108">
        <f t="shared" si="281"/>
        <v>6741.3999999999942</v>
      </c>
      <c r="I172" s="164">
        <f t="shared" si="281"/>
        <v>-45471.699999999983</v>
      </c>
      <c r="J172" s="164">
        <f t="shared" si="281"/>
        <v>-106088.49999999997</v>
      </c>
      <c r="K172" s="164">
        <f>J172+K170</f>
        <v>-104309.69999999998</v>
      </c>
      <c r="L172" s="164">
        <f>K172+L170</f>
        <v>-119191.99999999997</v>
      </c>
      <c r="M172" s="164">
        <f>L172+M170</f>
        <v>-150278.69999999998</v>
      </c>
      <c r="N172" s="164">
        <f>M172+N170</f>
        <v>-140071.29999999999</v>
      </c>
      <c r="O172" s="164">
        <f>N172+O170</f>
        <v>-154329.9</v>
      </c>
      <c r="P172" s="161"/>
      <c r="S172" s="107"/>
      <c r="T172" s="107"/>
      <c r="U172" s="107"/>
      <c r="V172" s="107"/>
      <c r="W172" s="107"/>
      <c r="X172" s="107"/>
      <c r="Y172" s="107"/>
      <c r="Z172" s="107"/>
      <c r="AA172" s="107"/>
      <c r="AB172" s="107"/>
      <c r="AC172" s="107"/>
      <c r="AI172" s="107"/>
      <c r="AJ172" s="107"/>
      <c r="AK172" s="107"/>
      <c r="AL172" s="107"/>
      <c r="AM172" s="107"/>
      <c r="AN172" s="107"/>
      <c r="AO172" s="107"/>
      <c r="AP172" s="107"/>
      <c r="AQ172" s="107"/>
      <c r="AR172" s="107"/>
      <c r="AS172" s="107"/>
      <c r="AT172" s="107"/>
      <c r="AU172" s="107"/>
      <c r="AV172" s="107"/>
      <c r="AW172" s="107"/>
      <c r="AX172" s="107"/>
      <c r="AY172" s="107"/>
      <c r="AZ172" s="107"/>
      <c r="BA172" s="107"/>
      <c r="BB172" s="107"/>
      <c r="BC172" s="107"/>
      <c r="BD172" s="107"/>
      <c r="BE172" s="107"/>
      <c r="BF172" s="107"/>
      <c r="BG172" s="107"/>
      <c r="BH172" s="107"/>
      <c r="BI172" s="107"/>
      <c r="BJ172" s="107"/>
    </row>
    <row r="173" spans="3:62" s="124" customFormat="1">
      <c r="C173" s="128" t="s">
        <v>698</v>
      </c>
      <c r="D173" s="279">
        <f t="shared" ref="D173:M173" si="282">D172/D61</f>
        <v>-8.2346818181818132E-2</v>
      </c>
      <c r="E173" s="279">
        <f t="shared" si="282"/>
        <v>-2.5125333333333319E-2</v>
      </c>
      <c r="F173" s="279">
        <f t="shared" si="282"/>
        <v>-4.7480575539568266E-3</v>
      </c>
      <c r="G173" s="279">
        <f t="shared" si="282"/>
        <v>3.4229319371727688E-3</v>
      </c>
      <c r="H173" s="279">
        <f t="shared" si="282"/>
        <v>5.3291699604743033E-3</v>
      </c>
      <c r="I173" s="280">
        <f t="shared" si="282"/>
        <v>-2.747534743202416E-2</v>
      </c>
      <c r="J173" s="280">
        <f t="shared" si="282"/>
        <v>-5.1374576271186426E-2</v>
      </c>
      <c r="K173" s="280">
        <f t="shared" si="282"/>
        <v>-4.355311064718162E-2</v>
      </c>
      <c r="L173" s="280">
        <f t="shared" si="282"/>
        <v>-4.4227087198515758E-2</v>
      </c>
      <c r="M173" s="280">
        <f t="shared" si="282"/>
        <v>-5.0344623115577886E-2</v>
      </c>
      <c r="N173" s="280">
        <f t="shared" ref="N173:O173" si="283">N172/N61</f>
        <v>-4.3568055987558314E-2</v>
      </c>
      <c r="O173" s="280">
        <f t="shared" si="283"/>
        <v>-4.4668567293777134E-2</v>
      </c>
      <c r="S173" s="128"/>
      <c r="T173" s="128"/>
      <c r="U173" s="128"/>
      <c r="V173" s="128"/>
      <c r="W173" s="128"/>
      <c r="X173" s="128"/>
      <c r="Y173" s="128"/>
      <c r="Z173" s="128"/>
      <c r="AA173" s="128"/>
      <c r="AB173" s="128"/>
      <c r="AC173" s="128"/>
      <c r="AI173" s="128"/>
      <c r="AJ173" s="128"/>
      <c r="AK173" s="128"/>
      <c r="AL173" s="128"/>
      <c r="AM173" s="128"/>
      <c r="AN173" s="128"/>
      <c r="AO173" s="128"/>
      <c r="AP173" s="128"/>
      <c r="AQ173" s="128"/>
      <c r="AR173" s="128"/>
      <c r="AS173" s="128"/>
      <c r="AT173" s="128"/>
      <c r="AU173" s="128"/>
      <c r="AV173" s="128"/>
      <c r="AW173" s="128"/>
      <c r="AX173" s="128"/>
      <c r="AY173" s="128"/>
      <c r="AZ173" s="128"/>
      <c r="BA173" s="128"/>
      <c r="BB173" s="128"/>
      <c r="BC173" s="128"/>
      <c r="BD173" s="128"/>
      <c r="BE173" s="128"/>
      <c r="BF173" s="128"/>
      <c r="BG173" s="128"/>
      <c r="BH173" s="128"/>
      <c r="BI173" s="128"/>
      <c r="BJ173" s="128"/>
    </row>
    <row r="174" spans="3:62" s="124" customFormat="1">
      <c r="C174" s="108" t="s">
        <v>533</v>
      </c>
      <c r="D174" s="107">
        <f t="shared" ref="D174:I174" si="284">D101-D60</f>
        <v>-18116.299999999988</v>
      </c>
      <c r="E174" s="107">
        <f t="shared" si="284"/>
        <v>6809.8999999999942</v>
      </c>
      <c r="F174" s="107">
        <f t="shared" si="284"/>
        <v>8006.5</v>
      </c>
      <c r="G174" s="107">
        <f t="shared" si="284"/>
        <v>2255.8580710659735</v>
      </c>
      <c r="H174" s="107">
        <f t="shared" si="284"/>
        <v>12177.608999999997</v>
      </c>
      <c r="I174" s="101">
        <f t="shared" si="284"/>
        <v>-40939.073734729493</v>
      </c>
      <c r="J174" s="101">
        <f t="shared" ref="J174:O174" si="285">J101-J60</f>
        <v>-56176.358540145971</v>
      </c>
      <c r="K174" s="101">
        <f t="shared" si="285"/>
        <v>4160.2611764705507</v>
      </c>
      <c r="L174" s="101">
        <f t="shared" si="285"/>
        <v>33054.683905579441</v>
      </c>
      <c r="M174" s="101">
        <f t="shared" si="285"/>
        <v>-33385.072972972994</v>
      </c>
      <c r="N174" s="101">
        <f t="shared" si="285"/>
        <v>10207.399999999994</v>
      </c>
      <c r="O174" s="101">
        <f t="shared" si="285"/>
        <v>-14258.600000000006</v>
      </c>
      <c r="S174" s="107"/>
      <c r="T174" s="128"/>
      <c r="U174" s="128"/>
      <c r="V174" s="128"/>
      <c r="W174" s="128"/>
      <c r="X174" s="128"/>
      <c r="Y174" s="128"/>
      <c r="Z174" s="128"/>
      <c r="AA174" s="128"/>
      <c r="AB174" s="128"/>
      <c r="AC174" s="128"/>
      <c r="AI174" s="107"/>
      <c r="AJ174" s="128"/>
      <c r="AK174" s="128"/>
      <c r="AL174" s="128"/>
      <c r="AM174" s="128"/>
      <c r="AN174" s="128"/>
      <c r="AO174" s="128"/>
      <c r="AP174" s="128"/>
      <c r="AQ174" s="128"/>
      <c r="AR174" s="128"/>
      <c r="AS174" s="128"/>
      <c r="AT174" s="128"/>
      <c r="AU174" s="128"/>
      <c r="AV174" s="128"/>
      <c r="AW174" s="107"/>
      <c r="AX174" s="128"/>
      <c r="AY174" s="128"/>
      <c r="AZ174" s="128"/>
      <c r="BA174" s="128"/>
      <c r="BB174" s="128"/>
      <c r="BC174" s="128"/>
      <c r="BD174" s="128"/>
      <c r="BE174" s="128"/>
      <c r="BF174" s="128"/>
      <c r="BG174" s="128"/>
      <c r="BH174" s="128"/>
      <c r="BI174" s="128"/>
      <c r="BJ174" s="128"/>
    </row>
    <row r="175" spans="3:62" s="124" customFormat="1">
      <c r="C175" s="124" t="s">
        <v>534</v>
      </c>
      <c r="D175" s="128">
        <f t="shared" ref="D175:M175" si="286">D174/D60</f>
        <v>-8.2346818181818132E-2</v>
      </c>
      <c r="E175" s="128">
        <f t="shared" si="286"/>
        <v>2.9608260869565192E-2</v>
      </c>
      <c r="F175" s="128">
        <f t="shared" si="286"/>
        <v>3.2679591836734696E-2</v>
      </c>
      <c r="G175" s="128">
        <f t="shared" si="286"/>
        <v>8.6763771964075906E-3</v>
      </c>
      <c r="H175" s="128">
        <f t="shared" si="286"/>
        <v>3.9282609677419346E-2</v>
      </c>
      <c r="I175" s="294">
        <f t="shared" si="286"/>
        <v>-0.10497198393520382</v>
      </c>
      <c r="J175" s="294">
        <f t="shared" si="286"/>
        <v>-0.13701550863450238</v>
      </c>
      <c r="K175" s="294">
        <f t="shared" si="286"/>
        <v>1.260685204991076E-2</v>
      </c>
      <c r="L175" s="294">
        <f t="shared" si="286"/>
        <v>0.1101822796852648</v>
      </c>
      <c r="M175" s="294">
        <f t="shared" si="286"/>
        <v>-0.11512094128611378</v>
      </c>
      <c r="N175" s="294">
        <f t="shared" ref="N175:O175" si="287">N174/N60</f>
        <v>4.4379999999999975E-2</v>
      </c>
      <c r="O175" s="294">
        <f t="shared" si="287"/>
        <v>-5.9410833333333357E-2</v>
      </c>
      <c r="S175" s="128"/>
      <c r="T175" s="128"/>
      <c r="U175" s="128"/>
      <c r="V175" s="128"/>
      <c r="W175" s="128"/>
      <c r="X175" s="128"/>
      <c r="Y175" s="128"/>
      <c r="Z175" s="128"/>
      <c r="AA175" s="128"/>
      <c r="AB175" s="128"/>
      <c r="AC175" s="128"/>
      <c r="AI175" s="128"/>
      <c r="AJ175" s="128"/>
      <c r="AK175" s="128"/>
      <c r="AL175" s="128"/>
      <c r="AM175" s="128"/>
      <c r="AN175" s="128"/>
      <c r="AO175" s="128"/>
      <c r="AP175" s="128"/>
      <c r="AQ175" s="128"/>
      <c r="AR175" s="128"/>
      <c r="AS175" s="128"/>
      <c r="AT175" s="128"/>
      <c r="AU175" s="128"/>
      <c r="AV175" s="128"/>
      <c r="AW175" s="128"/>
      <c r="AX175" s="128"/>
      <c r="AY175" s="128"/>
      <c r="AZ175" s="128"/>
      <c r="BA175" s="128"/>
      <c r="BB175" s="128"/>
      <c r="BC175" s="128"/>
      <c r="BD175" s="128"/>
      <c r="BE175" s="128"/>
      <c r="BF175" s="128"/>
      <c r="BG175" s="128"/>
      <c r="BH175" s="128"/>
      <c r="BI175" s="128"/>
      <c r="BJ175" s="128"/>
    </row>
    <row r="176" spans="3:62" s="124" customFormat="1">
      <c r="C176" s="108" t="s">
        <v>699</v>
      </c>
      <c r="D176" s="107">
        <f>D174</f>
        <v>-18116.299999999988</v>
      </c>
      <c r="E176" s="107">
        <f t="shared" ref="E176:J176" si="288">D176+E174</f>
        <v>-11306.399999999994</v>
      </c>
      <c r="F176" s="107">
        <f t="shared" si="288"/>
        <v>-3299.8999999999942</v>
      </c>
      <c r="G176" s="107">
        <f t="shared" si="288"/>
        <v>-1044.0419289340207</v>
      </c>
      <c r="H176" s="107">
        <f t="shared" si="288"/>
        <v>11133.567071065976</v>
      </c>
      <c r="I176" s="101">
        <f t="shared" si="288"/>
        <v>-29805.506663663517</v>
      </c>
      <c r="J176" s="101">
        <f t="shared" si="288"/>
        <v>-85981.865203809488</v>
      </c>
      <c r="K176" s="101">
        <f>J176+K174</f>
        <v>-81821.604027338937</v>
      </c>
      <c r="L176" s="101">
        <f>K176+L174</f>
        <v>-48766.920121759496</v>
      </c>
      <c r="M176" s="101">
        <f>L176+M174</f>
        <v>-82151.99309473249</v>
      </c>
      <c r="N176" s="101">
        <f>M176+N174</f>
        <v>-71944.593094732496</v>
      </c>
      <c r="O176" s="101">
        <f>N176+O174</f>
        <v>-86203.193094732502</v>
      </c>
      <c r="S176" s="107"/>
      <c r="T176" s="128"/>
      <c r="U176" s="128"/>
      <c r="V176" s="128"/>
      <c r="W176" s="128"/>
      <c r="X176" s="128"/>
      <c r="Y176" s="128"/>
      <c r="Z176" s="128"/>
      <c r="AA176" s="128"/>
      <c r="AB176" s="128"/>
      <c r="AC176" s="128"/>
      <c r="AI176" s="107"/>
      <c r="AJ176" s="128"/>
      <c r="AK176" s="128"/>
      <c r="AL176" s="128"/>
      <c r="AM176" s="128"/>
      <c r="AN176" s="128"/>
      <c r="AO176" s="128"/>
      <c r="AP176" s="128"/>
      <c r="AQ176" s="128"/>
      <c r="AR176" s="128"/>
      <c r="AS176" s="128"/>
      <c r="AT176" s="128"/>
      <c r="AU176" s="128"/>
      <c r="AV176" s="128"/>
      <c r="AW176" s="107"/>
      <c r="AX176" s="128"/>
      <c r="AY176" s="128"/>
      <c r="AZ176" s="128"/>
      <c r="BA176" s="128"/>
      <c r="BB176" s="128"/>
      <c r="BC176" s="128"/>
      <c r="BD176" s="128"/>
      <c r="BE176" s="128"/>
      <c r="BF176" s="128"/>
      <c r="BG176" s="128"/>
      <c r="BH176" s="128"/>
      <c r="BI176" s="128"/>
      <c r="BJ176" s="128"/>
    </row>
    <row r="177" spans="3:62" s="124" customFormat="1">
      <c r="C177" s="128" t="s">
        <v>700</v>
      </c>
      <c r="D177" s="279">
        <f t="shared" ref="D177:M177" si="289">D176/D61</f>
        <v>-8.2346818181818132E-2</v>
      </c>
      <c r="E177" s="279">
        <f t="shared" si="289"/>
        <v>-2.5125333333333319E-2</v>
      </c>
      <c r="F177" s="279">
        <f t="shared" si="289"/>
        <v>-4.7480575539568266E-3</v>
      </c>
      <c r="G177" s="279">
        <f t="shared" si="289"/>
        <v>-1.0932376219204404E-3</v>
      </c>
      <c r="H177" s="279">
        <f t="shared" si="289"/>
        <v>8.8012387913565023E-3</v>
      </c>
      <c r="I177" s="280">
        <f t="shared" si="289"/>
        <v>-1.8009369585295178E-2</v>
      </c>
      <c r="J177" s="280">
        <f t="shared" si="289"/>
        <v>-4.1637707120488858E-2</v>
      </c>
      <c r="K177" s="280">
        <f t="shared" si="289"/>
        <v>-3.4163508988450497E-2</v>
      </c>
      <c r="L177" s="280">
        <f t="shared" si="289"/>
        <v>-1.8095332141654728E-2</v>
      </c>
      <c r="M177" s="280">
        <f t="shared" si="289"/>
        <v>-2.7521605726878555E-2</v>
      </c>
      <c r="N177" s="280">
        <f t="shared" ref="N177:O177" si="290">N176/N61</f>
        <v>-2.2377789454038101E-2</v>
      </c>
      <c r="O177" s="280">
        <f t="shared" si="290"/>
        <v>-2.4950272965190305E-2</v>
      </c>
      <c r="S177" s="128"/>
      <c r="T177" s="128"/>
      <c r="U177" s="128"/>
      <c r="V177" s="128"/>
      <c r="W177" s="128"/>
      <c r="X177" s="128"/>
      <c r="Y177" s="128"/>
      <c r="Z177" s="128"/>
      <c r="AA177" s="128"/>
      <c r="AB177" s="128"/>
      <c r="AC177" s="128"/>
      <c r="AI177" s="128"/>
      <c r="AJ177" s="128"/>
      <c r="AK177" s="128"/>
      <c r="AL177" s="128"/>
      <c r="AM177" s="128"/>
      <c r="AN177" s="128"/>
      <c r="AO177" s="128"/>
      <c r="AP177" s="128"/>
      <c r="AQ177" s="128"/>
      <c r="AR177" s="128"/>
      <c r="AS177" s="128"/>
      <c r="AT177" s="128"/>
      <c r="AU177" s="128"/>
      <c r="AV177" s="128"/>
      <c r="AW177" s="128"/>
      <c r="AX177" s="128"/>
      <c r="AY177" s="128"/>
      <c r="AZ177" s="128"/>
      <c r="BA177" s="128"/>
      <c r="BB177" s="128"/>
      <c r="BC177" s="128"/>
      <c r="BD177" s="128"/>
      <c r="BE177" s="128"/>
      <c r="BF177" s="128"/>
      <c r="BG177" s="128"/>
      <c r="BH177" s="128"/>
      <c r="BI177" s="128"/>
      <c r="BJ177" s="128"/>
    </row>
    <row r="178" spans="3:62" s="108" customFormat="1">
      <c r="C178" s="278" t="s">
        <v>419</v>
      </c>
      <c r="D178" s="108">
        <f t="shared" ref="D178:I178" si="291">D103-D64</f>
        <v>-7188.8999999999942</v>
      </c>
      <c r="E178" s="108">
        <f t="shared" si="291"/>
        <v>7136.3999999999942</v>
      </c>
      <c r="F178" s="108">
        <f t="shared" si="291"/>
        <v>6979.7999999999884</v>
      </c>
      <c r="G178" s="108">
        <f t="shared" si="291"/>
        <v>6239.7999999999884</v>
      </c>
      <c r="H178" s="108">
        <f t="shared" si="291"/>
        <v>2573.9000000000233</v>
      </c>
      <c r="I178" s="164">
        <f t="shared" si="291"/>
        <v>-63345.899999999965</v>
      </c>
      <c r="J178" s="164">
        <f t="shared" ref="J178:O178" si="292">J103-J64</f>
        <v>-71163</v>
      </c>
      <c r="K178" s="164">
        <f t="shared" si="292"/>
        <v>-6884.2999999999884</v>
      </c>
      <c r="L178" s="164">
        <f t="shared" si="292"/>
        <v>-21219</v>
      </c>
      <c r="M178" s="164">
        <f t="shared" si="292"/>
        <v>-31290.700000000012</v>
      </c>
      <c r="N178" s="164">
        <f t="shared" si="292"/>
        <v>11603</v>
      </c>
      <c r="O178" s="164">
        <f t="shared" si="292"/>
        <v>-14769.5</v>
      </c>
      <c r="P178" s="161"/>
      <c r="S178" s="107"/>
      <c r="T178" s="107"/>
      <c r="U178" s="107"/>
      <c r="V178" s="107"/>
      <c r="W178" s="107"/>
      <c r="X178" s="107"/>
      <c r="Y178" s="107"/>
      <c r="Z178" s="107"/>
      <c r="AA178" s="107"/>
      <c r="AB178" s="107"/>
      <c r="AC178" s="107"/>
      <c r="AI178" s="107"/>
      <c r="AJ178" s="107"/>
      <c r="AK178" s="107"/>
      <c r="AL178" s="107"/>
      <c r="AM178" s="107"/>
      <c r="AN178" s="107"/>
      <c r="AO178" s="107"/>
      <c r="AP178" s="107"/>
      <c r="AQ178" s="107"/>
      <c r="AR178" s="107"/>
      <c r="AS178" s="107"/>
      <c r="AT178" s="107"/>
      <c r="AU178" s="107"/>
      <c r="AV178" s="107"/>
      <c r="AW178" s="107"/>
      <c r="AX178" s="107"/>
      <c r="AY178" s="107"/>
      <c r="AZ178" s="107"/>
      <c r="BA178" s="107"/>
      <c r="BB178" s="107"/>
      <c r="BC178" s="107"/>
      <c r="BD178" s="107"/>
      <c r="BE178" s="107"/>
      <c r="BF178" s="107"/>
      <c r="BG178" s="107"/>
      <c r="BH178" s="107"/>
      <c r="BI178" s="107"/>
      <c r="BJ178" s="107"/>
    </row>
    <row r="179" spans="3:62" s="124" customFormat="1">
      <c r="C179" s="279" t="s">
        <v>420</v>
      </c>
      <c r="D179" s="124">
        <f t="shared" ref="D179:M179" si="293">D178/D64</f>
        <v>-3.2093303571428547E-2</v>
      </c>
      <c r="E179" s="124">
        <f t="shared" si="293"/>
        <v>3.0602058319039425E-2</v>
      </c>
      <c r="F179" s="124">
        <f t="shared" si="293"/>
        <v>2.8053858520900275E-2</v>
      </c>
      <c r="G179" s="124">
        <f t="shared" si="293"/>
        <v>2.3179049034175291E-2</v>
      </c>
      <c r="H179" s="124">
        <f t="shared" si="293"/>
        <v>7.8424741011579018E-3</v>
      </c>
      <c r="I179" s="165">
        <f t="shared" si="293"/>
        <v>-0.15039387464387455</v>
      </c>
      <c r="J179" s="165">
        <f t="shared" si="293"/>
        <v>-0.1605663357400722</v>
      </c>
      <c r="K179" s="165">
        <f t="shared" si="293"/>
        <v>-1.9165645879732705E-2</v>
      </c>
      <c r="L179" s="165">
        <f t="shared" si="293"/>
        <v>-6.606164383561644E-2</v>
      </c>
      <c r="M179" s="165">
        <f t="shared" si="293"/>
        <v>-0.10388678618857905</v>
      </c>
      <c r="N179" s="165">
        <f t="shared" ref="N179:O179" si="294">N178/N64</f>
        <v>4.9123624047417443E-2</v>
      </c>
      <c r="O179" s="165">
        <f t="shared" si="294"/>
        <v>-6.0481162981162982E-2</v>
      </c>
      <c r="S179" s="128"/>
      <c r="T179" s="128"/>
      <c r="U179" s="128"/>
      <c r="V179" s="128"/>
      <c r="W179" s="128"/>
      <c r="X179" s="128"/>
      <c r="Y179" s="128"/>
      <c r="Z179" s="128"/>
      <c r="AA179" s="128"/>
      <c r="AB179" s="128"/>
      <c r="AC179" s="128"/>
      <c r="AI179" s="128"/>
      <c r="AJ179" s="128"/>
      <c r="AK179" s="128"/>
      <c r="AL179" s="128"/>
      <c r="AM179" s="128"/>
      <c r="AN179" s="128"/>
      <c r="AO179" s="128"/>
      <c r="AP179" s="128"/>
      <c r="AQ179" s="128"/>
      <c r="AR179" s="128"/>
      <c r="AS179" s="128"/>
      <c r="AT179" s="128"/>
      <c r="AU179" s="128"/>
      <c r="AV179" s="128"/>
      <c r="AW179" s="128"/>
      <c r="AX179" s="128"/>
      <c r="AY179" s="128"/>
      <c r="AZ179" s="128"/>
      <c r="BA179" s="128"/>
      <c r="BB179" s="128"/>
      <c r="BC179" s="128"/>
      <c r="BD179" s="128"/>
      <c r="BE179" s="128"/>
      <c r="BF179" s="128"/>
      <c r="BG179" s="128"/>
      <c r="BH179" s="128"/>
      <c r="BI179" s="128"/>
      <c r="BJ179" s="128"/>
    </row>
    <row r="180" spans="3:62" s="108" customFormat="1">
      <c r="C180" s="278" t="s">
        <v>701</v>
      </c>
      <c r="D180" s="108">
        <f>D178</f>
        <v>-7188.8999999999942</v>
      </c>
      <c r="E180" s="108">
        <f t="shared" ref="E180:J180" si="295">D180+E178</f>
        <v>-52.5</v>
      </c>
      <c r="F180" s="108">
        <f t="shared" si="295"/>
        <v>6927.2999999999884</v>
      </c>
      <c r="G180" s="108">
        <f t="shared" si="295"/>
        <v>13167.099999999977</v>
      </c>
      <c r="H180" s="108">
        <f t="shared" si="295"/>
        <v>15741</v>
      </c>
      <c r="I180" s="164">
        <f t="shared" si="295"/>
        <v>-47604.899999999965</v>
      </c>
      <c r="J180" s="164">
        <f t="shared" si="295"/>
        <v>-118767.89999999997</v>
      </c>
      <c r="K180" s="164">
        <f>J180+K178</f>
        <v>-125652.19999999995</v>
      </c>
      <c r="L180" s="164">
        <f>K180+L178</f>
        <v>-146871.19999999995</v>
      </c>
      <c r="M180" s="164">
        <f>L180+M178</f>
        <v>-178161.89999999997</v>
      </c>
      <c r="N180" s="164">
        <f>M180+N178</f>
        <v>-166558.89999999997</v>
      </c>
      <c r="O180" s="164">
        <f>N180+O178</f>
        <v>-181328.39999999997</v>
      </c>
      <c r="P180" s="161"/>
      <c r="S180" s="107"/>
      <c r="T180" s="107"/>
      <c r="U180" s="107"/>
      <c r="V180" s="107"/>
      <c r="W180" s="107"/>
      <c r="X180" s="107"/>
      <c r="Y180" s="107"/>
      <c r="Z180" s="107"/>
      <c r="AA180" s="107"/>
      <c r="AB180" s="107"/>
      <c r="AC180" s="107"/>
      <c r="AI180" s="107"/>
      <c r="AJ180" s="107"/>
      <c r="AK180" s="107"/>
      <c r="AL180" s="107"/>
      <c r="AM180" s="107"/>
      <c r="AN180" s="107"/>
      <c r="AO180" s="107"/>
      <c r="AP180" s="107"/>
      <c r="AQ180" s="107"/>
      <c r="AR180" s="107"/>
      <c r="AS180" s="107"/>
      <c r="AT180" s="107"/>
      <c r="AU180" s="107"/>
      <c r="AV180" s="107"/>
      <c r="AW180" s="107"/>
      <c r="AX180" s="107"/>
      <c r="AY180" s="107"/>
      <c r="AZ180" s="107"/>
      <c r="BA180" s="107"/>
      <c r="BB180" s="107"/>
      <c r="BC180" s="107"/>
      <c r="BD180" s="107"/>
      <c r="BE180" s="107"/>
      <c r="BF180" s="107"/>
      <c r="BG180" s="107"/>
      <c r="BH180" s="107"/>
      <c r="BI180" s="107"/>
      <c r="BJ180" s="107"/>
    </row>
    <row r="181" spans="3:62" s="124" customFormat="1">
      <c r="C181" s="279" t="s">
        <v>702</v>
      </c>
      <c r="D181" s="279">
        <f t="shared" ref="D181:M181" si="296">D180/D65</f>
        <v>-3.2093303571428547E-2</v>
      </c>
      <c r="E181" s="279">
        <f t="shared" si="296"/>
        <v>-1.1482939632545932E-4</v>
      </c>
      <c r="F181" s="279">
        <f t="shared" si="296"/>
        <v>9.8120396600566411E-3</v>
      </c>
      <c r="G181" s="279">
        <f t="shared" si="296"/>
        <v>1.350194831829366E-2</v>
      </c>
      <c r="H181" s="280">
        <f t="shared" si="296"/>
        <v>1.2076875863127206E-2</v>
      </c>
      <c r="I181" s="280">
        <f t="shared" si="296"/>
        <v>-2.7603444276933762E-2</v>
      </c>
      <c r="J181" s="280">
        <f t="shared" si="296"/>
        <v>-5.4787295876003304E-2</v>
      </c>
      <c r="K181" s="280">
        <f t="shared" si="296"/>
        <v>-4.9723862287297173E-2</v>
      </c>
      <c r="L181" s="325">
        <f t="shared" si="296"/>
        <v>-5.1566322589705761E-2</v>
      </c>
      <c r="M181" s="280">
        <f t="shared" si="296"/>
        <v>-5.6570108592112769E-2</v>
      </c>
      <c r="N181" s="280">
        <f t="shared" ref="N181:O181" si="297">N180/N65</f>
        <v>-4.919627244801511E-2</v>
      </c>
      <c r="O181" s="325">
        <f t="shared" si="297"/>
        <v>-4.9955479640751546E-2</v>
      </c>
      <c r="S181" s="128"/>
      <c r="T181" s="128"/>
      <c r="U181" s="128"/>
      <c r="V181" s="128"/>
      <c r="W181" s="128"/>
      <c r="X181" s="128"/>
      <c r="Y181" s="128"/>
      <c r="Z181" s="128"/>
      <c r="AA181" s="128"/>
      <c r="AB181" s="128"/>
      <c r="AC181" s="128"/>
      <c r="AI181" s="128"/>
      <c r="AJ181" s="128"/>
      <c r="AK181" s="128"/>
      <c r="AL181" s="128"/>
      <c r="AM181" s="128"/>
      <c r="AN181" s="128"/>
      <c r="AO181" s="128"/>
      <c r="AP181" s="128"/>
      <c r="AQ181" s="128"/>
      <c r="AR181" s="128"/>
      <c r="AS181" s="128"/>
      <c r="AT181" s="128"/>
      <c r="AU181" s="128"/>
      <c r="AV181" s="128"/>
      <c r="AW181" s="128"/>
      <c r="AX181" s="128"/>
      <c r="AY181" s="128"/>
      <c r="AZ181" s="128"/>
      <c r="BA181" s="128"/>
      <c r="BB181" s="128"/>
      <c r="BC181" s="128"/>
      <c r="BD181" s="128"/>
      <c r="BE181" s="128"/>
      <c r="BF181" s="128"/>
      <c r="BG181" s="128"/>
      <c r="BH181" s="128"/>
      <c r="BI181" s="128"/>
      <c r="BJ181" s="128"/>
    </row>
    <row r="182" spans="3:62" s="124" customFormat="1">
      <c r="C182" s="278" t="s">
        <v>535</v>
      </c>
      <c r="D182" s="107">
        <f t="shared" ref="D182:I182" si="298">D105-D64</f>
        <v>-7188.8999999999942</v>
      </c>
      <c r="E182" s="107">
        <f t="shared" si="298"/>
        <v>7136.3999999999942</v>
      </c>
      <c r="F182" s="107">
        <f t="shared" si="298"/>
        <v>5951</v>
      </c>
      <c r="G182" s="107">
        <f t="shared" si="298"/>
        <v>481.59529610828031</v>
      </c>
      <c r="H182" s="107">
        <f t="shared" si="298"/>
        <v>10937.673499999975</v>
      </c>
      <c r="I182" s="101">
        <f t="shared" si="298"/>
        <v>-52170.40111983713</v>
      </c>
      <c r="J182" s="101">
        <f t="shared" ref="J182:O182" si="299">J105-J64</f>
        <v>-67505.134900243313</v>
      </c>
      <c r="K182" s="101">
        <f t="shared" si="299"/>
        <v>-5404.0580392157426</v>
      </c>
      <c r="L182" s="101">
        <f t="shared" si="299"/>
        <v>32142.628969957121</v>
      </c>
      <c r="M182" s="101">
        <f t="shared" si="299"/>
        <v>-35113.110810810816</v>
      </c>
      <c r="N182" s="101">
        <f t="shared" si="299"/>
        <v>9967.2999999999884</v>
      </c>
      <c r="O182" s="101">
        <f t="shared" si="299"/>
        <v>-15953.700000000012</v>
      </c>
      <c r="S182" s="107"/>
      <c r="T182" s="128"/>
      <c r="U182" s="128"/>
      <c r="V182" s="128"/>
      <c r="W182" s="128"/>
      <c r="X182" s="128"/>
      <c r="Y182" s="128"/>
      <c r="Z182" s="128"/>
      <c r="AA182" s="128"/>
      <c r="AB182" s="128"/>
      <c r="AC182" s="128"/>
      <c r="AI182" s="107"/>
      <c r="AJ182" s="128"/>
      <c r="AK182" s="128"/>
      <c r="AL182" s="128"/>
      <c r="AM182" s="128"/>
      <c r="AN182" s="128"/>
      <c r="AO182" s="128"/>
      <c r="AP182" s="128"/>
      <c r="AQ182" s="128"/>
      <c r="AR182" s="128"/>
      <c r="AS182" s="128"/>
      <c r="AT182" s="128"/>
      <c r="AU182" s="128"/>
      <c r="AV182" s="128"/>
      <c r="AW182" s="107"/>
      <c r="AX182" s="128"/>
      <c r="AY182" s="128"/>
      <c r="AZ182" s="128"/>
      <c r="BA182" s="128"/>
      <c r="BB182" s="128"/>
      <c r="BC182" s="128"/>
      <c r="BD182" s="128"/>
      <c r="BE182" s="128"/>
      <c r="BF182" s="128"/>
      <c r="BG182" s="128"/>
      <c r="BH182" s="128"/>
      <c r="BI182" s="128"/>
      <c r="BJ182" s="128"/>
    </row>
    <row r="183" spans="3:62" s="124" customFormat="1">
      <c r="C183" s="279" t="s">
        <v>536</v>
      </c>
      <c r="D183" s="128">
        <f t="shared" ref="D183:M183" si="300">D182/D64</f>
        <v>-3.2093303571428547E-2</v>
      </c>
      <c r="E183" s="128">
        <f t="shared" si="300"/>
        <v>3.0602058319039425E-2</v>
      </c>
      <c r="F183" s="128">
        <f t="shared" si="300"/>
        <v>2.3918810289389067E-2</v>
      </c>
      <c r="G183" s="128">
        <f t="shared" si="300"/>
        <v>1.7889869840575048E-3</v>
      </c>
      <c r="H183" s="128">
        <f t="shared" si="300"/>
        <v>3.3326244667885363E-2</v>
      </c>
      <c r="I183" s="294">
        <f t="shared" si="300"/>
        <v>-0.12386135118669785</v>
      </c>
      <c r="J183" s="294">
        <f t="shared" si="300"/>
        <v>-0.15231303000957427</v>
      </c>
      <c r="K183" s="294">
        <f t="shared" si="300"/>
        <v>-1.5044705008952513E-2</v>
      </c>
      <c r="L183" s="294">
        <f t="shared" si="300"/>
        <v>0.10007045133859627</v>
      </c>
      <c r="M183" s="294">
        <f t="shared" si="300"/>
        <v>-0.11657739313018199</v>
      </c>
      <c r="N183" s="294">
        <f t="shared" ref="N183:O183" si="301">N182/N64</f>
        <v>4.2198560541913586E-2</v>
      </c>
      <c r="O183" s="294">
        <f t="shared" si="301"/>
        <v>-6.533046683046688E-2</v>
      </c>
      <c r="S183" s="128"/>
      <c r="T183" s="128"/>
      <c r="U183" s="128"/>
      <c r="V183" s="128"/>
      <c r="W183" s="128"/>
      <c r="X183" s="128"/>
      <c r="Y183" s="128"/>
      <c r="Z183" s="128"/>
      <c r="AA183" s="128"/>
      <c r="AB183" s="128"/>
      <c r="AC183" s="128"/>
      <c r="AI183" s="128"/>
      <c r="AJ183" s="128"/>
      <c r="AK183" s="128"/>
      <c r="AL183" s="128"/>
      <c r="AM183" s="128"/>
      <c r="AN183" s="128"/>
      <c r="AO183" s="128"/>
      <c r="AP183" s="128"/>
      <c r="AQ183" s="128"/>
      <c r="AR183" s="128"/>
      <c r="AS183" s="128"/>
      <c r="AT183" s="128"/>
      <c r="AU183" s="128"/>
      <c r="AV183" s="128"/>
      <c r="AW183" s="128"/>
      <c r="AX183" s="128"/>
      <c r="AY183" s="128"/>
      <c r="AZ183" s="128"/>
      <c r="BA183" s="128"/>
      <c r="BB183" s="128"/>
      <c r="BC183" s="128"/>
      <c r="BD183" s="128"/>
      <c r="BE183" s="128"/>
      <c r="BF183" s="128"/>
      <c r="BG183" s="128"/>
      <c r="BH183" s="128"/>
      <c r="BI183" s="128"/>
      <c r="BJ183" s="128"/>
    </row>
    <row r="184" spans="3:62" s="124" customFormat="1">
      <c r="C184" s="278" t="s">
        <v>703</v>
      </c>
      <c r="D184" s="107">
        <f>D182</f>
        <v>-7188.8999999999942</v>
      </c>
      <c r="E184" s="107">
        <f t="shared" ref="E184:J184" si="302">D184+E182</f>
        <v>-52.5</v>
      </c>
      <c r="F184" s="107">
        <f t="shared" si="302"/>
        <v>5898.5</v>
      </c>
      <c r="G184" s="107">
        <f t="shared" si="302"/>
        <v>6380.0952961082803</v>
      </c>
      <c r="H184" s="107">
        <f t="shared" si="302"/>
        <v>17317.768796108256</v>
      </c>
      <c r="I184" s="101">
        <f t="shared" si="302"/>
        <v>-34852.632323728874</v>
      </c>
      <c r="J184" s="101">
        <f t="shared" si="302"/>
        <v>-102357.76722397219</v>
      </c>
      <c r="K184" s="101">
        <f>J184+K182</f>
        <v>-107761.82526318793</v>
      </c>
      <c r="L184" s="101">
        <f>K184+L182</f>
        <v>-75619.196293230809</v>
      </c>
      <c r="M184" s="101">
        <f>L184+M182</f>
        <v>-110732.30710404163</v>
      </c>
      <c r="N184" s="101">
        <f>M184+N182</f>
        <v>-100765.00710404164</v>
      </c>
      <c r="O184" s="101">
        <f>N184+O182</f>
        <v>-116718.70710404165</v>
      </c>
      <c r="S184" s="107"/>
      <c r="T184" s="128"/>
      <c r="U184" s="128"/>
      <c r="V184" s="128"/>
      <c r="W184" s="128"/>
      <c r="X184" s="128"/>
      <c r="Y184" s="128"/>
      <c r="Z184" s="128"/>
      <c r="AA184" s="128"/>
      <c r="AB184" s="128"/>
      <c r="AC184" s="128"/>
      <c r="AI184" s="107"/>
      <c r="AJ184" s="128"/>
      <c r="AK184" s="128"/>
      <c r="AL184" s="128"/>
      <c r="AM184" s="128"/>
      <c r="AN184" s="128"/>
      <c r="AO184" s="128"/>
      <c r="AP184" s="128"/>
      <c r="AQ184" s="128"/>
      <c r="AR184" s="128"/>
      <c r="AS184" s="128"/>
      <c r="AT184" s="128"/>
      <c r="AU184" s="128"/>
      <c r="AV184" s="128"/>
      <c r="AW184" s="107"/>
      <c r="AX184" s="128"/>
      <c r="AY184" s="128"/>
      <c r="AZ184" s="128"/>
      <c r="BA184" s="128"/>
      <c r="BB184" s="128"/>
      <c r="BC184" s="128"/>
      <c r="BD184" s="128"/>
      <c r="BE184" s="128"/>
      <c r="BF184" s="128"/>
      <c r="BG184" s="128"/>
      <c r="BH184" s="128"/>
      <c r="BI184" s="128"/>
      <c r="BJ184" s="128"/>
    </row>
    <row r="185" spans="3:62" s="124" customFormat="1">
      <c r="C185" s="279" t="s">
        <v>704</v>
      </c>
      <c r="D185" s="279">
        <f t="shared" ref="D185:M185" si="303">D184/D65</f>
        <v>-3.2093303571428547E-2</v>
      </c>
      <c r="E185" s="279">
        <f t="shared" si="303"/>
        <v>-1.1482939632545932E-4</v>
      </c>
      <c r="F185" s="279">
        <f t="shared" si="303"/>
        <v>8.3548158640226623E-3</v>
      </c>
      <c r="G185" s="279">
        <f t="shared" si="303"/>
        <v>6.5423454636057013E-3</v>
      </c>
      <c r="H185" s="280">
        <f t="shared" si="303"/>
        <v>1.3286611014353427E-2</v>
      </c>
      <c r="I185" s="280">
        <f t="shared" si="303"/>
        <v>-2.0209110706093512E-2</v>
      </c>
      <c r="J185" s="280">
        <f t="shared" si="303"/>
        <v>-4.7217348105901003E-2</v>
      </c>
      <c r="K185" s="280">
        <f t="shared" si="303"/>
        <v>-4.2644173036481173E-2</v>
      </c>
      <c r="L185" s="325">
        <f t="shared" si="303"/>
        <v>-2.6549819638098032E-2</v>
      </c>
      <c r="M185" s="280">
        <f t="shared" si="303"/>
        <v>-3.5159810473119203E-2</v>
      </c>
      <c r="N185" s="280">
        <f t="shared" ref="N185:O185" si="304">N184/N65</f>
        <v>-2.9762821096420616E-2</v>
      </c>
      <c r="O185" s="325">
        <f t="shared" si="304"/>
        <v>-3.2155685465877361E-2</v>
      </c>
      <c r="S185" s="128"/>
      <c r="T185" s="128"/>
      <c r="U185" s="128"/>
      <c r="V185" s="128"/>
      <c r="W185" s="128"/>
      <c r="X185" s="128"/>
      <c r="Y185" s="128"/>
      <c r="Z185" s="128"/>
      <c r="AA185" s="128"/>
      <c r="AB185" s="128"/>
      <c r="AC185" s="128"/>
      <c r="AI185" s="128"/>
      <c r="AJ185" s="128"/>
      <c r="AK185" s="128"/>
      <c r="AL185" s="128"/>
      <c r="AM185" s="128"/>
      <c r="AN185" s="128"/>
      <c r="AO185" s="128"/>
      <c r="AP185" s="128"/>
      <c r="AQ185" s="128"/>
      <c r="AR185" s="128"/>
      <c r="AS185" s="128"/>
      <c r="AT185" s="128"/>
      <c r="AU185" s="128"/>
      <c r="AV185" s="128"/>
      <c r="AW185" s="128"/>
      <c r="AX185" s="128"/>
      <c r="AY185" s="128"/>
      <c r="AZ185" s="128"/>
      <c r="BA185" s="128"/>
      <c r="BB185" s="128"/>
      <c r="BC185" s="128"/>
      <c r="BD185" s="128"/>
      <c r="BE185" s="128"/>
      <c r="BF185" s="128"/>
      <c r="BG185" s="128"/>
      <c r="BH185" s="128"/>
      <c r="BI185" s="128"/>
      <c r="BJ185" s="128"/>
    </row>
    <row r="186" spans="3:62" s="108" customFormat="1">
      <c r="C186" s="108" t="s">
        <v>421</v>
      </c>
      <c r="D186" s="108">
        <f t="shared" ref="D186:I186" si="305">D107-D68</f>
        <v>-35431.599999999977</v>
      </c>
      <c r="E186" s="108">
        <f t="shared" si="305"/>
        <v>17840.70000000007</v>
      </c>
      <c r="F186" s="108">
        <f t="shared" si="305"/>
        <v>9573</v>
      </c>
      <c r="G186" s="108">
        <f t="shared" si="305"/>
        <v>-105098.79999999981</v>
      </c>
      <c r="H186" s="108">
        <f t="shared" si="305"/>
        <v>-81848.600000000093</v>
      </c>
      <c r="I186" s="164">
        <f t="shared" si="305"/>
        <v>-255207.64999999967</v>
      </c>
      <c r="J186" s="164">
        <f t="shared" ref="J186:O186" si="306">J107-J68</f>
        <v>-221626.89999999991</v>
      </c>
      <c r="K186" s="164">
        <f t="shared" si="306"/>
        <v>-49847.199999999953</v>
      </c>
      <c r="L186" s="164">
        <f t="shared" si="306"/>
        <v>-493888.14999999991</v>
      </c>
      <c r="M186" s="164">
        <f t="shared" si="306"/>
        <v>-194557.19999999995</v>
      </c>
      <c r="N186" s="164">
        <f t="shared" si="306"/>
        <v>-27369.79999999993</v>
      </c>
      <c r="O186" s="164">
        <f t="shared" si="306"/>
        <v>54.349999999976717</v>
      </c>
      <c r="P186" s="161"/>
      <c r="S186" s="107"/>
      <c r="T186" s="107"/>
      <c r="U186" s="107"/>
      <c r="V186" s="107"/>
      <c r="W186" s="107"/>
      <c r="X186" s="107"/>
      <c r="Y186" s="107"/>
      <c r="Z186" s="107"/>
      <c r="AA186" s="107"/>
      <c r="AB186" s="107"/>
      <c r="AC186" s="107"/>
      <c r="AI186" s="107"/>
      <c r="AJ186" s="107"/>
      <c r="AK186" s="107"/>
      <c r="AL186" s="107"/>
      <c r="AM186" s="107"/>
      <c r="AN186" s="107"/>
      <c r="AO186" s="107"/>
      <c r="AP186" s="107"/>
      <c r="AQ186" s="107"/>
      <c r="AR186" s="107"/>
      <c r="AS186" s="107"/>
      <c r="AT186" s="107"/>
      <c r="AU186" s="107"/>
      <c r="AV186" s="107"/>
      <c r="AW186" s="107"/>
      <c r="AX186" s="107"/>
      <c r="AY186" s="107"/>
      <c r="AZ186" s="107"/>
      <c r="BA186" s="107"/>
      <c r="BB186" s="107"/>
      <c r="BC186" s="107"/>
      <c r="BD186" s="107"/>
      <c r="BE186" s="107"/>
      <c r="BF186" s="107"/>
      <c r="BG186" s="107"/>
      <c r="BH186" s="107"/>
      <c r="BI186" s="107"/>
      <c r="BJ186" s="107"/>
    </row>
    <row r="187" spans="3:62">
      <c r="C187" s="10" t="s">
        <v>422</v>
      </c>
      <c r="D187" s="279">
        <f t="shared" ref="D187:M187" si="307">D186/D68</f>
        <v>-7.236269986663639E-2</v>
      </c>
      <c r="E187" s="279">
        <f t="shared" si="307"/>
        <v>3.5764445041386241E-2</v>
      </c>
      <c r="F187" s="279">
        <f t="shared" si="307"/>
        <v>1.7187106420559317E-2</v>
      </c>
      <c r="G187" s="279">
        <f t="shared" si="307"/>
        <v>-0.11229545645899622</v>
      </c>
      <c r="H187" s="279">
        <f t="shared" si="307"/>
        <v>-5.6281799158763586E-2</v>
      </c>
      <c r="I187" s="280">
        <f t="shared" si="307"/>
        <v>-0.11861592563952537</v>
      </c>
      <c r="J187" s="280">
        <f t="shared" si="307"/>
        <v>-9.4210826740792827E-2</v>
      </c>
      <c r="K187" s="280">
        <f t="shared" si="307"/>
        <v>-2.5335262547021509E-2</v>
      </c>
      <c r="L187" s="280">
        <f t="shared" si="307"/>
        <v>-0.3088046288667351</v>
      </c>
      <c r="M187" s="280">
        <f t="shared" si="307"/>
        <v>-0.18886811465049766</v>
      </c>
      <c r="N187" s="280">
        <f t="shared" ref="N187:O187" si="308">N186/N68</f>
        <v>-4.2281277753566986E-2</v>
      </c>
      <c r="O187" s="280">
        <f t="shared" si="308"/>
        <v>1.0633921623003846E-4</v>
      </c>
      <c r="S187" s="24"/>
      <c r="T187" s="128"/>
      <c r="U187" s="24"/>
      <c r="V187" s="24"/>
      <c r="W187" s="24"/>
      <c r="X187" s="24"/>
      <c r="Y187" s="24"/>
      <c r="Z187" s="24"/>
      <c r="AA187" s="24"/>
      <c r="AB187" s="24"/>
      <c r="AC187" s="24"/>
      <c r="AI187" s="24"/>
      <c r="AJ187" s="128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128"/>
      <c r="AY187" s="24"/>
      <c r="AZ187" s="24"/>
      <c r="BA187" s="24"/>
      <c r="BB187" s="24"/>
      <c r="BC187" s="24"/>
      <c r="BD187" s="24"/>
      <c r="BE187" s="24"/>
      <c r="BF187" s="24"/>
      <c r="BG187" s="24"/>
      <c r="BH187" s="24"/>
      <c r="BI187" s="24"/>
      <c r="BJ187" s="24"/>
    </row>
    <row r="188" spans="3:62" s="108" customFormat="1">
      <c r="C188" s="108" t="s">
        <v>705</v>
      </c>
      <c r="D188" s="108">
        <f>D186</f>
        <v>-35431.599999999977</v>
      </c>
      <c r="E188" s="108">
        <f t="shared" ref="E188:J188" si="309">D188+E186</f>
        <v>-17590.899999999907</v>
      </c>
      <c r="F188" s="108">
        <f t="shared" si="309"/>
        <v>-8017.8999999999069</v>
      </c>
      <c r="G188" s="108">
        <f t="shared" si="309"/>
        <v>-113116.69999999972</v>
      </c>
      <c r="H188" s="108">
        <f t="shared" si="309"/>
        <v>-194965.29999999981</v>
      </c>
      <c r="I188" s="164">
        <f t="shared" si="309"/>
        <v>-450172.94999999949</v>
      </c>
      <c r="J188" s="164">
        <f t="shared" si="309"/>
        <v>-671799.84999999939</v>
      </c>
      <c r="K188" s="164">
        <f>J188+K186</f>
        <v>-721647.04999999935</v>
      </c>
      <c r="L188" s="164">
        <f>K188+L186</f>
        <v>-1215535.1999999993</v>
      </c>
      <c r="M188" s="164">
        <f>L188+M186</f>
        <v>-1410092.3999999992</v>
      </c>
      <c r="N188" s="164">
        <f>M188+N186</f>
        <v>-1437462.1999999993</v>
      </c>
      <c r="O188" s="164">
        <f>N188+O186</f>
        <v>-1437407.8499999992</v>
      </c>
      <c r="P188" s="161"/>
      <c r="S188" s="107"/>
      <c r="T188" s="107"/>
      <c r="U188" s="107"/>
      <c r="V188" s="107"/>
      <c r="W188" s="107"/>
      <c r="X188" s="107"/>
      <c r="Y188" s="107"/>
      <c r="Z188" s="107"/>
      <c r="AA188" s="107"/>
      <c r="AB188" s="107"/>
      <c r="AC188" s="107"/>
      <c r="AI188" s="107"/>
      <c r="AJ188" s="107"/>
      <c r="AK188" s="107"/>
      <c r="AL188" s="107"/>
      <c r="AM188" s="107"/>
      <c r="AN188" s="107"/>
      <c r="AO188" s="107"/>
      <c r="AP188" s="107"/>
      <c r="AQ188" s="107"/>
      <c r="AR188" s="107"/>
      <c r="AS188" s="107"/>
      <c r="AT188" s="107"/>
      <c r="AU188" s="107"/>
      <c r="AV188" s="107"/>
      <c r="AW188" s="107"/>
      <c r="AX188" s="107"/>
      <c r="AY188" s="107"/>
      <c r="AZ188" s="107"/>
      <c r="BA188" s="107"/>
      <c r="BB188" s="107"/>
      <c r="BC188" s="107"/>
      <c r="BD188" s="107"/>
      <c r="BE188" s="107"/>
      <c r="BF188" s="107"/>
      <c r="BG188" s="107"/>
      <c r="BH188" s="107"/>
      <c r="BI188" s="107"/>
      <c r="BJ188" s="107"/>
    </row>
    <row r="189" spans="3:62" s="124" customFormat="1">
      <c r="C189" s="128" t="s">
        <v>706</v>
      </c>
      <c r="D189" s="279">
        <f t="shared" ref="D189:M189" si="310">D188/D69</f>
        <v>-7.236269986663639E-2</v>
      </c>
      <c r="E189" s="279">
        <f t="shared" si="310"/>
        <v>-1.7795944876871216E-2</v>
      </c>
      <c r="F189" s="279">
        <f t="shared" si="310"/>
        <v>-5.1880168386827623E-3</v>
      </c>
      <c r="G189" s="279">
        <f t="shared" si="310"/>
        <v>-4.5586233619739881E-2</v>
      </c>
      <c r="H189" s="279">
        <f t="shared" si="310"/>
        <v>-4.9538365094432053E-2</v>
      </c>
      <c r="I189" s="280">
        <f t="shared" si="310"/>
        <v>-7.3954161944556646E-2</v>
      </c>
      <c r="J189" s="280">
        <f t="shared" si="310"/>
        <v>-7.9600480619704636E-2</v>
      </c>
      <c r="K189" s="280">
        <f t="shared" si="310"/>
        <v>-6.9341477491848352E-2</v>
      </c>
      <c r="L189" s="280">
        <f t="shared" si="310"/>
        <v>-0.10123973481304693</v>
      </c>
      <c r="M189" s="280">
        <f t="shared" si="310"/>
        <v>-0.10816391346435267</v>
      </c>
      <c r="N189" s="280">
        <f t="shared" ref="N189:O189" si="311">N188/N69</f>
        <v>-0.10504729996895118</v>
      </c>
      <c r="O189" s="280">
        <f t="shared" si="311"/>
        <v>-0.10126118839232298</v>
      </c>
      <c r="S189" s="128"/>
      <c r="T189" s="128"/>
      <c r="U189" s="128"/>
      <c r="V189" s="128"/>
      <c r="W189" s="128"/>
      <c r="X189" s="128"/>
      <c r="Y189" s="128"/>
      <c r="Z189" s="128"/>
      <c r="AA189" s="128"/>
      <c r="AB189" s="128"/>
      <c r="AC189" s="128"/>
      <c r="AI189" s="128"/>
      <c r="AJ189" s="128"/>
      <c r="AK189" s="128"/>
      <c r="AL189" s="128"/>
      <c r="AM189" s="128"/>
      <c r="AN189" s="128"/>
      <c r="AO189" s="128"/>
      <c r="AP189" s="128"/>
      <c r="AQ189" s="128"/>
      <c r="AR189" s="128"/>
      <c r="AS189" s="128"/>
      <c r="AT189" s="128"/>
      <c r="AU189" s="128"/>
      <c r="AV189" s="128"/>
      <c r="AW189" s="128"/>
      <c r="AX189" s="128"/>
      <c r="AY189" s="128"/>
      <c r="AZ189" s="128"/>
      <c r="BA189" s="128"/>
      <c r="BB189" s="128"/>
      <c r="BC189" s="128"/>
      <c r="BD189" s="128"/>
      <c r="BE189" s="128"/>
      <c r="BF189" s="128"/>
      <c r="BG189" s="128"/>
      <c r="BH189" s="128"/>
      <c r="BI189" s="128"/>
      <c r="BJ189" s="128"/>
    </row>
    <row r="190" spans="3:62">
      <c r="C190" s="108" t="s">
        <v>588</v>
      </c>
      <c r="D190" s="108">
        <f t="shared" ref="D190:I190" si="312">D109-D68</f>
        <v>-35431.599999999977</v>
      </c>
      <c r="E190" s="108">
        <f t="shared" si="312"/>
        <v>17840.70000000007</v>
      </c>
      <c r="F190" s="108">
        <f t="shared" si="312"/>
        <v>8544.1999999999534</v>
      </c>
      <c r="G190" s="108">
        <f t="shared" si="312"/>
        <v>-144464.19137055834</v>
      </c>
      <c r="H190" s="108">
        <f t="shared" si="312"/>
        <v>7029.337999999756</v>
      </c>
      <c r="I190" s="164">
        <f t="shared" si="312"/>
        <v>-111162.03049738216</v>
      </c>
      <c r="J190" s="164">
        <f t="shared" ref="J190:O190" si="313">J109-J68</f>
        <v>-162510.35842335736</v>
      </c>
      <c r="K190" s="164">
        <f t="shared" si="313"/>
        <v>-18002.255294117378</v>
      </c>
      <c r="L190" s="164">
        <f t="shared" si="313"/>
        <v>25781.1174892704</v>
      </c>
      <c r="M190" s="164">
        <f t="shared" si="313"/>
        <v>-221959.2432432432</v>
      </c>
      <c r="N190" s="164">
        <f t="shared" si="313"/>
        <v>-46295.199999999953</v>
      </c>
      <c r="O190" s="164">
        <f t="shared" si="313"/>
        <v>33526.270913705463</v>
      </c>
      <c r="S190" s="107"/>
      <c r="AI190" s="107"/>
      <c r="AW190" s="107"/>
    </row>
    <row r="191" spans="3:62">
      <c r="C191" s="10" t="s">
        <v>589</v>
      </c>
      <c r="D191" s="279">
        <f t="shared" ref="D191:M191" si="314">D190/D68</f>
        <v>-7.236269986663639E-2</v>
      </c>
      <c r="E191" s="279">
        <f t="shared" si="314"/>
        <v>3.5764445041386241E-2</v>
      </c>
      <c r="F191" s="279">
        <f t="shared" si="314"/>
        <v>1.5340026603838099E-2</v>
      </c>
      <c r="G191" s="279">
        <f t="shared" si="314"/>
        <v>-0.15435639904486692</v>
      </c>
      <c r="H191" s="279">
        <f t="shared" si="314"/>
        <v>4.8336048452270498E-3</v>
      </c>
      <c r="I191" s="280">
        <f t="shared" si="314"/>
        <v>-5.1666112451629685E-2</v>
      </c>
      <c r="J191" s="280">
        <f t="shared" si="314"/>
        <v>-6.908112336998383E-2</v>
      </c>
      <c r="K191" s="280">
        <f t="shared" si="314"/>
        <v>-9.1497990722642815E-3</v>
      </c>
      <c r="L191" s="280">
        <f t="shared" si="314"/>
        <v>1.6119699203238306E-2</v>
      </c>
      <c r="M191" s="280">
        <f t="shared" si="314"/>
        <v>-0.21546888935800149</v>
      </c>
      <c r="N191" s="280">
        <f t="shared" ref="N191:O191" si="315">N190/N68</f>
        <v>-7.1517519669743207E-2</v>
      </c>
      <c r="O191" s="280">
        <f t="shared" si="315"/>
        <v>6.5596271795416772E-2</v>
      </c>
      <c r="S191" s="24"/>
      <c r="AI191" s="24"/>
      <c r="AW191" s="24"/>
    </row>
    <row r="192" spans="3:62">
      <c r="C192" s="108" t="s">
        <v>707</v>
      </c>
      <c r="D192" s="108">
        <f>D109-D69</f>
        <v>-35431.599999999977</v>
      </c>
      <c r="E192" s="108">
        <f t="shared" ref="E192:J192" si="316">D192+E190</f>
        <v>-17590.899999999907</v>
      </c>
      <c r="F192" s="108">
        <f t="shared" si="316"/>
        <v>-9046.6999999999534</v>
      </c>
      <c r="G192" s="108">
        <f t="shared" si="316"/>
        <v>-153510.8913705583</v>
      </c>
      <c r="H192" s="108">
        <f t="shared" si="316"/>
        <v>-146481.55337055854</v>
      </c>
      <c r="I192" s="164">
        <f t="shared" si="316"/>
        <v>-257643.5838679407</v>
      </c>
      <c r="J192" s="164">
        <f t="shared" si="316"/>
        <v>-420153.94229129807</v>
      </c>
      <c r="K192" s="164">
        <f>J192+K190</f>
        <v>-438156.19758541544</v>
      </c>
      <c r="L192" s="164">
        <f>K192+L190</f>
        <v>-412375.08009614504</v>
      </c>
      <c r="M192" s="164">
        <f>L192+M190</f>
        <v>-634334.32333938824</v>
      </c>
      <c r="N192" s="164">
        <f>M192+N190</f>
        <v>-680629.52333938819</v>
      </c>
      <c r="O192" s="164">
        <f>N192+O190</f>
        <v>-647103.25242568273</v>
      </c>
      <c r="S192" s="107"/>
      <c r="AI192" s="107"/>
      <c r="AW192" s="107"/>
    </row>
    <row r="193" spans="3:49">
      <c r="C193" s="128" t="s">
        <v>708</v>
      </c>
      <c r="D193" s="279">
        <f t="shared" ref="D193:M193" si="317">D192/D69</f>
        <v>-7.236269986663639E-2</v>
      </c>
      <c r="E193" s="279">
        <f t="shared" si="317"/>
        <v>-1.7795944876871216E-2</v>
      </c>
      <c r="F193" s="279">
        <f t="shared" si="317"/>
        <v>-5.8537063239141977E-3</v>
      </c>
      <c r="G193" s="279">
        <f t="shared" si="317"/>
        <v>-6.1865165419366007E-2</v>
      </c>
      <c r="H193" s="279">
        <f t="shared" si="317"/>
        <v>-3.7219221422839191E-2</v>
      </c>
      <c r="I193" s="280">
        <f t="shared" si="317"/>
        <v>-4.2325544716415482E-2</v>
      </c>
      <c r="J193" s="280">
        <f t="shared" si="317"/>
        <v>-4.9783362917766354E-2</v>
      </c>
      <c r="K193" s="280">
        <f t="shared" si="317"/>
        <v>-4.210146513144198E-2</v>
      </c>
      <c r="L193" s="280">
        <f t="shared" si="317"/>
        <v>-3.4345976778330019E-2</v>
      </c>
      <c r="M193" s="280">
        <f t="shared" si="317"/>
        <v>-4.8657863028798917E-2</v>
      </c>
      <c r="N193" s="280">
        <f t="shared" ref="N193:O193" si="318">N192/N69</f>
        <v>-4.9739251373675776E-2</v>
      </c>
      <c r="O193" s="280">
        <f t="shared" si="318"/>
        <v>-4.558653575821367E-2</v>
      </c>
      <c r="S193" s="128"/>
      <c r="AI193" s="128"/>
      <c r="AW193" s="128"/>
    </row>
    <row r="212" spans="4:4">
      <c r="D212" s="154"/>
    </row>
  </sheetData>
  <phoneticPr fontId="0" type="noConversion"/>
  <printOptions horizontalCentered="1" verticalCentered="1"/>
  <pageMargins left="0.75" right="0.75" top="1" bottom="1" header="0.5" footer="0.5"/>
  <pageSetup scale="56" orientation="landscape" horizontalDpi="1200" verticalDpi="1200" r:id="rId1"/>
  <headerFooter alignWithMargins="0">
    <oddFooter>&amp;A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1">
    <pageSetUpPr fitToPage="1"/>
  </sheetPr>
  <dimension ref="A1:O368"/>
  <sheetViews>
    <sheetView topLeftCell="A109" zoomScale="50" workbookViewId="0">
      <selection activeCell="O122" sqref="O122"/>
    </sheetView>
  </sheetViews>
  <sheetFormatPr defaultRowHeight="20.25"/>
  <cols>
    <col min="1" max="1" width="53.6640625" style="1" bestFit="1" customWidth="1"/>
    <col min="2" max="2" width="10.109375" style="10" customWidth="1"/>
    <col min="3" max="11" width="12.109375" style="10" bestFit="1" customWidth="1"/>
    <col min="12" max="12" width="9.88671875" style="10" bestFit="1" customWidth="1"/>
    <col min="13" max="13" width="10.109375" style="10" bestFit="1" customWidth="1"/>
    <col min="14" max="14" width="17.44140625" style="10" bestFit="1" customWidth="1"/>
    <col min="15" max="15" width="13" style="1" bestFit="1" customWidth="1"/>
    <col min="16" max="16384" width="8.88671875" style="1"/>
  </cols>
  <sheetData>
    <row r="1" spans="1:14">
      <c r="A1" s="33" t="s">
        <v>546</v>
      </c>
      <c r="B1" s="142">
        <v>40725</v>
      </c>
      <c r="C1" s="142">
        <v>40756</v>
      </c>
      <c r="D1" s="142">
        <v>40787</v>
      </c>
      <c r="E1" s="142">
        <v>40817</v>
      </c>
      <c r="F1" s="142">
        <v>40848</v>
      </c>
      <c r="G1" s="142">
        <v>40878</v>
      </c>
      <c r="H1" s="142">
        <v>40909</v>
      </c>
      <c r="I1" s="142">
        <v>40940</v>
      </c>
      <c r="J1" s="142">
        <v>40969</v>
      </c>
      <c r="K1" s="142">
        <v>41000</v>
      </c>
      <c r="L1" s="142">
        <v>41030</v>
      </c>
      <c r="M1" s="142">
        <v>41061</v>
      </c>
      <c r="N1" s="11" t="s">
        <v>857</v>
      </c>
    </row>
    <row r="2" spans="1:14">
      <c r="A2" s="1" t="s">
        <v>547</v>
      </c>
      <c r="B2" s="22">
        <f>+MCFS!D39</f>
        <v>115134</v>
      </c>
      <c r="C2" s="22">
        <f>+MCFS!E39</f>
        <v>115134</v>
      </c>
      <c r="D2" s="22">
        <f>+MCFS!F39</f>
        <v>143862.79999999999</v>
      </c>
      <c r="E2" s="22">
        <f>+MCFS!G39</f>
        <v>369685.2</v>
      </c>
      <c r="F2" s="22">
        <f>+MCFS!H39</f>
        <v>662947.6</v>
      </c>
      <c r="G2" s="22">
        <f>+MCFS!I39</f>
        <v>1044745</v>
      </c>
      <c r="H2" s="22">
        <f>+MCFS!J39</f>
        <v>1158294.8</v>
      </c>
      <c r="I2" s="22">
        <f>+MCFS!K39</f>
        <v>972460.8</v>
      </c>
      <c r="J2" s="22">
        <f>+MCFS!L39</f>
        <v>757751</v>
      </c>
      <c r="K2" s="22">
        <f>+MCFS!M39</f>
        <v>410892</v>
      </c>
      <c r="L2" s="22">
        <f>+MCFS!N39</f>
        <v>207471.2</v>
      </c>
      <c r="M2" s="22">
        <f>+MCFS!O39</f>
        <v>117659</v>
      </c>
      <c r="N2" s="22">
        <f>+MCFS!P39</f>
        <v>6076037.4000000004</v>
      </c>
    </row>
    <row r="3" spans="1:14">
      <c r="A3" s="1" t="s">
        <v>548</v>
      </c>
      <c r="B3" s="22">
        <f>+MCFS!D73</f>
        <v>102094.8</v>
      </c>
      <c r="C3" s="22">
        <f>+MCFS!E73</f>
        <v>125059.3</v>
      </c>
      <c r="D3" s="22">
        <f>+MCFS!F73</f>
        <v>137773.9</v>
      </c>
      <c r="E3" s="22">
        <f>+MCFS!G73</f>
        <v>305135.40000000002</v>
      </c>
      <c r="F3" s="22">
        <f>+MCFS!H73</f>
        <v>615849.5</v>
      </c>
      <c r="G3" s="22">
        <f>+MCFS!I73</f>
        <v>947556.8</v>
      </c>
      <c r="H3" s="22">
        <f>+MCFS!J73</f>
        <v>1063794.5</v>
      </c>
      <c r="I3" s="22">
        <f>+MCFS!K73</f>
        <v>946474.3</v>
      </c>
      <c r="J3" s="22">
        <f>+MCFS!L73</f>
        <v>426964.7</v>
      </c>
      <c r="K3" s="22">
        <f>+MCFS!M73</f>
        <v>296034.2</v>
      </c>
      <c r="L3" s="22">
        <f>+MCFS!N73</f>
        <v>167345</v>
      </c>
      <c r="M3" s="22">
        <f>+MCFS!O73</f>
        <v>126363.2</v>
      </c>
      <c r="N3" s="22">
        <f>+MCFS!P73</f>
        <v>5260445.6000000006</v>
      </c>
    </row>
    <row r="4" spans="1:14">
      <c r="A4" s="1" t="s">
        <v>549</v>
      </c>
      <c r="B4" s="22">
        <f>+MCFS!D75</f>
        <v>102094.8</v>
      </c>
      <c r="C4" s="22">
        <f>+MCFS!E75</f>
        <v>125059.3</v>
      </c>
      <c r="D4" s="22">
        <f>+MCFS!F75</f>
        <v>137773.9</v>
      </c>
      <c r="E4" s="22">
        <f>+MCFS!G75</f>
        <v>283153.52940778341</v>
      </c>
      <c r="F4" s="22">
        <f>+MCFS!H75</f>
        <v>667741.21749999991</v>
      </c>
      <c r="G4" s="22">
        <f>+MCFS!I75</f>
        <v>1034400.3018033741</v>
      </c>
      <c r="H4" s="22">
        <f>+MCFS!J75</f>
        <v>1099004.845888078</v>
      </c>
      <c r="I4" s="22">
        <f>+MCFS!K75</f>
        <v>965882.10313725506</v>
      </c>
      <c r="J4" s="22">
        <f>+MCFS!L75</f>
        <v>695268.07478540775</v>
      </c>
      <c r="K4" s="22">
        <f>+MCFS!M75</f>
        <v>281894.34594594594</v>
      </c>
      <c r="L4" s="22">
        <f>+MCFS!N75</f>
        <v>167345</v>
      </c>
      <c r="M4" s="22">
        <f>+MCFS!O75</f>
        <v>126363.2</v>
      </c>
      <c r="N4" s="22">
        <f>+MCFS!P75</f>
        <v>5685980.6184678441</v>
      </c>
    </row>
    <row r="30" spans="1:14">
      <c r="A30" s="33" t="s">
        <v>550</v>
      </c>
      <c r="B30" s="142">
        <v>40725</v>
      </c>
      <c r="C30" s="142">
        <v>40756</v>
      </c>
      <c r="D30" s="142">
        <v>40787</v>
      </c>
      <c r="E30" s="142">
        <v>40817</v>
      </c>
      <c r="F30" s="142">
        <v>40848</v>
      </c>
      <c r="G30" s="142">
        <v>40878</v>
      </c>
      <c r="H30" s="142">
        <v>40909</v>
      </c>
      <c r="I30" s="142">
        <v>40940</v>
      </c>
      <c r="J30" s="142">
        <v>40969</v>
      </c>
      <c r="K30" s="142">
        <v>41000</v>
      </c>
      <c r="L30" s="142">
        <v>41030</v>
      </c>
      <c r="M30" s="142">
        <v>41061</v>
      </c>
      <c r="N30" s="11" t="s">
        <v>857</v>
      </c>
    </row>
    <row r="31" spans="1:14">
      <c r="A31" s="1" t="s">
        <v>551</v>
      </c>
      <c r="B31" s="22">
        <f>+MCFS!D44</f>
        <v>84289</v>
      </c>
      <c r="C31" s="22">
        <f>+MCFS!E44</f>
        <v>84289</v>
      </c>
      <c r="D31" s="22">
        <f>+MCFS!F44</f>
        <v>93791.3</v>
      </c>
      <c r="E31" s="22">
        <f>+MCFS!G44</f>
        <v>180179.20000000001</v>
      </c>
      <c r="F31" s="22">
        <f>+MCFS!H44</f>
        <v>289332.09999999998</v>
      </c>
      <c r="G31" s="22">
        <f>+MCFS!I44</f>
        <v>434476.25</v>
      </c>
      <c r="H31" s="22">
        <f>+MCFS!J44</f>
        <v>477250.8</v>
      </c>
      <c r="I31" s="22">
        <f>+MCFS!K44</f>
        <v>403286.8</v>
      </c>
      <c r="J31" s="22">
        <f>+MCFS!L44</f>
        <v>326364.75</v>
      </c>
      <c r="K31" s="22">
        <f>+MCFS!M44</f>
        <v>194382</v>
      </c>
      <c r="L31" s="22">
        <f>+MCFS!N44</f>
        <v>119072.7</v>
      </c>
      <c r="M31" s="22">
        <f>+MCFS!O44</f>
        <v>83920.25</v>
      </c>
      <c r="N31" s="22">
        <f>+MCFS!P44</f>
        <v>2770634.1500000004</v>
      </c>
    </row>
    <row r="32" spans="1:14">
      <c r="A32" s="1" t="s">
        <v>552</v>
      </c>
      <c r="B32" s="22">
        <f>+MCFS!D77</f>
        <v>76417.7</v>
      </c>
      <c r="C32" s="22">
        <f>+MCFS!E77</f>
        <v>83451.899999999994</v>
      </c>
      <c r="D32" s="22">
        <f>+MCFS!F77</f>
        <v>94307.1</v>
      </c>
      <c r="E32" s="22">
        <f>+MCFS!G77</f>
        <v>135290.6</v>
      </c>
      <c r="F32" s="22">
        <f>+MCFS!H77</f>
        <v>247923.3</v>
      </c>
      <c r="G32" s="22">
        <f>+MCFS!I77</f>
        <v>347285.8</v>
      </c>
      <c r="H32" s="22">
        <f>+MCFS!J77</f>
        <v>419846.6</v>
      </c>
      <c r="I32" s="22">
        <f>+MCFS!K77</f>
        <v>378857.9</v>
      </c>
      <c r="J32" s="22">
        <f>+MCFS!L77</f>
        <v>212657.9</v>
      </c>
      <c r="K32" s="22">
        <f>+MCFS!M77</f>
        <v>150276.6</v>
      </c>
      <c r="L32" s="22">
        <f>+MCFS!N77</f>
        <v>108819.7</v>
      </c>
      <c r="M32" s="22">
        <f>+MCFS!O77</f>
        <v>80636.2</v>
      </c>
      <c r="N32" s="22">
        <f>+MCFS!P77</f>
        <v>2335771.3000000003</v>
      </c>
    </row>
    <row r="33" spans="1:14">
      <c r="A33" s="1" t="s">
        <v>553</v>
      </c>
      <c r="B33" s="22">
        <f>+MCFS!D79</f>
        <v>76417.7</v>
      </c>
      <c r="C33" s="22">
        <f>+MCFS!E79</f>
        <v>83451.899999999994</v>
      </c>
      <c r="D33" s="22">
        <f>+MCFS!F79</f>
        <v>94307.1</v>
      </c>
      <c r="E33" s="22">
        <f>+MCFS!G79</f>
        <v>129233.06301184434</v>
      </c>
      <c r="F33" s="22">
        <f>+MCFS!H79</f>
        <v>265059.06199999998</v>
      </c>
      <c r="G33" s="22">
        <f>+MCFS!I79</f>
        <v>374893.57322571258</v>
      </c>
      <c r="H33" s="22">
        <f>+MCFS!J79</f>
        <v>432370.8313187348</v>
      </c>
      <c r="I33" s="22">
        <f>+MCFS!K79</f>
        <v>385778.66078431375</v>
      </c>
      <c r="J33" s="22">
        <f>+MCFS!L79</f>
        <v>325079.12424892705</v>
      </c>
      <c r="K33" s="22">
        <f>+MCFS!M79</f>
        <v>144961.65135135135</v>
      </c>
      <c r="L33" s="22">
        <f>+MCFS!N79</f>
        <v>108819.7</v>
      </c>
      <c r="M33" s="22">
        <f>+MCFS!O79</f>
        <v>80636.2</v>
      </c>
      <c r="N33" s="22">
        <f>+MCFS!P79</f>
        <v>2501008.5659408844</v>
      </c>
    </row>
    <row r="60" spans="1:14">
      <c r="A60" s="33" t="s">
        <v>554</v>
      </c>
      <c r="B60" s="142">
        <v>40725</v>
      </c>
      <c r="C60" s="142">
        <v>40756</v>
      </c>
      <c r="D60" s="142">
        <v>40787</v>
      </c>
      <c r="E60" s="142">
        <v>40817</v>
      </c>
      <c r="F60" s="142">
        <v>40848</v>
      </c>
      <c r="G60" s="142">
        <v>40878</v>
      </c>
      <c r="H60" s="142">
        <v>40909</v>
      </c>
      <c r="I60" s="142">
        <v>40940</v>
      </c>
      <c r="J60" s="142">
        <v>40969</v>
      </c>
      <c r="K60" s="142">
        <v>41000</v>
      </c>
      <c r="L60" s="142">
        <v>41030</v>
      </c>
      <c r="M60" s="142">
        <v>41061</v>
      </c>
      <c r="N60" s="11" t="s">
        <v>857</v>
      </c>
    </row>
    <row r="61" spans="1:14">
      <c r="A61" s="1" t="s">
        <v>555</v>
      </c>
      <c r="B61" s="22">
        <f>+MCFS!D46</f>
        <v>62682</v>
      </c>
      <c r="C61" s="22">
        <f>+MCFS!E46</f>
        <v>62682</v>
      </c>
      <c r="D61" s="22">
        <f>+MCFS!F46</f>
        <v>65743</v>
      </c>
      <c r="E61" s="22">
        <f>+MCFS!G46</f>
        <v>102564</v>
      </c>
      <c r="F61" s="22">
        <f>+MCFS!H46</f>
        <v>147071</v>
      </c>
      <c r="G61" s="22">
        <f>+MCFS!I46</f>
        <v>208329.5</v>
      </c>
      <c r="H61" s="22">
        <f>+MCFS!J46</f>
        <v>226120</v>
      </c>
      <c r="I61" s="22">
        <f>+MCFS!K46</f>
        <v>192684</v>
      </c>
      <c r="J61" s="22">
        <f>+MCFS!L46</f>
        <v>163364.5</v>
      </c>
      <c r="K61" s="22">
        <f>+MCFS!M46</f>
        <v>107580</v>
      </c>
      <c r="L61" s="22">
        <f>+MCFS!N46</f>
        <v>77149</v>
      </c>
      <c r="M61" s="22">
        <f>+MCFS!O46</f>
        <v>61637.5</v>
      </c>
      <c r="N61" s="22">
        <f>+MCFS!P46</f>
        <v>1477606.5</v>
      </c>
    </row>
    <row r="62" spans="1:14">
      <c r="A62" s="1" t="s">
        <v>556</v>
      </c>
      <c r="B62" s="22">
        <f>+MCFS!D81</f>
        <v>55553.9</v>
      </c>
      <c r="C62" s="22">
        <f>+MCFS!E81</f>
        <v>64381.4</v>
      </c>
      <c r="D62" s="22">
        <f>+MCFS!F81</f>
        <v>73763.7</v>
      </c>
      <c r="E62" s="22">
        <f>+MCFS!G81</f>
        <v>105069.8</v>
      </c>
      <c r="F62" s="22">
        <f>+MCFS!H81</f>
        <v>152859.6</v>
      </c>
      <c r="G62" s="22">
        <f>+MCFS!I81</f>
        <v>207520.1</v>
      </c>
      <c r="H62" s="22">
        <f>+MCFS!J81</f>
        <v>226153.4</v>
      </c>
      <c r="I62" s="22">
        <f>+MCFS!K81</f>
        <v>199813.2</v>
      </c>
      <c r="J62" s="22">
        <f>+MCFS!L81</f>
        <v>145493.5</v>
      </c>
      <c r="K62" s="22">
        <f>+MCFS!M81</f>
        <v>110052.3</v>
      </c>
      <c r="L62" s="22">
        <f>+MCFS!N81</f>
        <v>89413</v>
      </c>
      <c r="M62" s="22">
        <f>+MCFS!O81</f>
        <v>69948.100000000006</v>
      </c>
      <c r="N62" s="22">
        <f>+MCFS!P81</f>
        <v>1500022.0000000002</v>
      </c>
    </row>
    <row r="63" spans="1:14">
      <c r="A63" s="1" t="s">
        <v>557</v>
      </c>
      <c r="B63" s="22">
        <f>+MCFS!D83</f>
        <v>55553.9</v>
      </c>
      <c r="C63" s="22">
        <f>+MCFS!E83</f>
        <v>64381.4</v>
      </c>
      <c r="D63" s="22">
        <f>+MCFS!F83</f>
        <v>73763.7</v>
      </c>
      <c r="E63" s="22">
        <f>+MCFS!G83</f>
        <v>100217.60805414552</v>
      </c>
      <c r="F63" s="22">
        <f>+MCFS!H83</f>
        <v>162130.39300000001</v>
      </c>
      <c r="G63" s="22">
        <f>+MCFS!I83</f>
        <v>222551.4515561373</v>
      </c>
      <c r="H63" s="22">
        <f>+MCFS!J83</f>
        <v>232192.27431630169</v>
      </c>
      <c r="I63" s="22">
        <f>+MCFS!K83</f>
        <v>202995.4792156863</v>
      </c>
      <c r="J63" s="22">
        <f>+MCFS!L83</f>
        <v>216608.68186695277</v>
      </c>
      <c r="K63" s="22">
        <f>+MCFS!M83</f>
        <v>106364.24864864865</v>
      </c>
      <c r="L63" s="22">
        <f>+MCFS!N83</f>
        <v>73763.7</v>
      </c>
      <c r="M63" s="22">
        <f>+MCFS!O83</f>
        <v>100217.60805414552</v>
      </c>
      <c r="N63" s="22">
        <f>+MCFS!P83</f>
        <v>1610740.4447120174</v>
      </c>
    </row>
    <row r="90" spans="1:14">
      <c r="A90" s="33" t="s">
        <v>558</v>
      </c>
      <c r="B90" s="142">
        <v>40725</v>
      </c>
      <c r="C90" s="142">
        <v>40756</v>
      </c>
      <c r="D90" s="142">
        <v>40787</v>
      </c>
      <c r="E90" s="142">
        <v>40817</v>
      </c>
      <c r="F90" s="142">
        <v>40848</v>
      </c>
      <c r="G90" s="142">
        <v>40878</v>
      </c>
      <c r="H90" s="142">
        <v>40909</v>
      </c>
      <c r="I90" s="142">
        <v>40940</v>
      </c>
      <c r="J90" s="142">
        <v>40969</v>
      </c>
      <c r="K90" s="142">
        <v>41000</v>
      </c>
      <c r="L90" s="142">
        <v>41030</v>
      </c>
      <c r="M90" s="142">
        <v>41061</v>
      </c>
      <c r="N90" s="11" t="s">
        <v>857</v>
      </c>
    </row>
    <row r="91" spans="1:14">
      <c r="A91" s="1" t="s">
        <v>559</v>
      </c>
      <c r="B91" s="22">
        <f>+MCFS!D48</f>
        <v>3534</v>
      </c>
      <c r="C91" s="22">
        <f>+MCFS!E48</f>
        <v>3534</v>
      </c>
      <c r="D91" s="22">
        <f>+MCFS!F48</f>
        <v>4790.2</v>
      </c>
      <c r="E91" s="22">
        <f>+MCFS!G48</f>
        <v>14284.800000000001</v>
      </c>
      <c r="F91" s="22">
        <f>+MCFS!H48</f>
        <v>26713.399999999998</v>
      </c>
      <c r="G91" s="22">
        <f>+MCFS!I48</f>
        <v>42795.5</v>
      </c>
      <c r="H91" s="22">
        <f>+MCFS!J48</f>
        <v>47591.200000000004</v>
      </c>
      <c r="I91" s="22">
        <f>+MCFS!K48</f>
        <v>39871.200000000004</v>
      </c>
      <c r="J91" s="22">
        <f>+MCFS!L48</f>
        <v>30674.5</v>
      </c>
      <c r="K91" s="22">
        <f>+MCFS!M48</f>
        <v>16068</v>
      </c>
      <c r="L91" s="22">
        <f>+MCFS!N48</f>
        <v>7433.7999999999993</v>
      </c>
      <c r="M91" s="22">
        <f>+MCFS!O48</f>
        <v>3683.5</v>
      </c>
      <c r="N91" s="22">
        <f>+MCFS!P48</f>
        <v>240974.1</v>
      </c>
    </row>
    <row r="92" spans="1:14">
      <c r="A92" s="1" t="s">
        <v>560</v>
      </c>
      <c r="B92" s="22">
        <f>+MCFS!D85</f>
        <v>3329.9</v>
      </c>
      <c r="C92" s="22">
        <f>+MCFS!E85</f>
        <v>3450.7</v>
      </c>
      <c r="D92" s="22">
        <f>+MCFS!F85</f>
        <v>4935.8</v>
      </c>
      <c r="E92" s="22">
        <f>+MCFS!G85</f>
        <v>9878.7999999999993</v>
      </c>
      <c r="F92" s="22">
        <f>+MCFS!H85</f>
        <v>25009.200000000001</v>
      </c>
      <c r="G92" s="22">
        <f>+MCFS!I85</f>
        <v>36121.800000000003</v>
      </c>
      <c r="H92" s="22">
        <f>+MCFS!J85</f>
        <v>48998.400000000001</v>
      </c>
      <c r="I92" s="22">
        <f>+MCFS!K85</f>
        <v>40194.5</v>
      </c>
      <c r="J92" s="22">
        <f>+MCFS!L85</f>
        <v>20369.5</v>
      </c>
      <c r="K92" s="22">
        <f>+MCFS!M85</f>
        <v>9292.4</v>
      </c>
      <c r="L92" s="22">
        <f>+MCFS!N85</f>
        <v>6576.2</v>
      </c>
      <c r="M92" s="22">
        <f>+MCFS!O85</f>
        <v>4776.6000000000004</v>
      </c>
      <c r="N92" s="22">
        <f>+MCFS!P85</f>
        <v>212933.80000000002</v>
      </c>
    </row>
    <row r="93" spans="1:14">
      <c r="A93" s="1" t="s">
        <v>561</v>
      </c>
      <c r="B93" s="22">
        <f>+MCFS!D87</f>
        <v>3329.9</v>
      </c>
      <c r="C93" s="22">
        <f>+MCFS!E87</f>
        <v>3450.7</v>
      </c>
      <c r="D93" s="22">
        <f>+MCFS!F87</f>
        <v>4935.8</v>
      </c>
      <c r="E93" s="22">
        <f>+MCFS!G87</f>
        <v>9163.2128595600661</v>
      </c>
      <c r="F93" s="22">
        <f>+MCFS!H87</f>
        <v>27225.092000000001</v>
      </c>
      <c r="G93" s="22">
        <f>+MCFS!I87</f>
        <v>39509.294037230953</v>
      </c>
      <c r="H93" s="22">
        <f>+MCFS!J87</f>
        <v>50683.624953771294</v>
      </c>
      <c r="I93" s="22">
        <f>+MCFS!K87</f>
        <v>41048.359607843136</v>
      </c>
      <c r="J93" s="22">
        <f>+MCFS!L87</f>
        <v>34837.357618025751</v>
      </c>
      <c r="K93" s="22">
        <f>+MCFS!M87</f>
        <v>8855.6216216216217</v>
      </c>
      <c r="L93" s="22">
        <f>+MCFS!N87</f>
        <v>4935.8</v>
      </c>
      <c r="M93" s="22">
        <f>+MCFS!O87</f>
        <v>9163.2128595600661</v>
      </c>
      <c r="N93" s="22">
        <f>+MCFS!P87</f>
        <v>237137.9755576129</v>
      </c>
    </row>
    <row r="120" spans="1:15">
      <c r="A120" s="33" t="s">
        <v>544</v>
      </c>
      <c r="B120" s="142">
        <v>40725</v>
      </c>
      <c r="C120" s="142">
        <v>40756</v>
      </c>
      <c r="D120" s="142">
        <v>40787</v>
      </c>
      <c r="E120" s="142">
        <v>40817</v>
      </c>
      <c r="F120" s="142">
        <v>40848</v>
      </c>
      <c r="G120" s="142">
        <v>40878</v>
      </c>
      <c r="H120" s="142">
        <v>40909</v>
      </c>
      <c r="I120" s="142">
        <v>40940</v>
      </c>
      <c r="J120" s="142">
        <v>40969</v>
      </c>
      <c r="K120" s="142">
        <v>41000</v>
      </c>
      <c r="L120" s="142">
        <v>41030</v>
      </c>
      <c r="M120" s="142">
        <v>41061</v>
      </c>
      <c r="N120" s="11" t="s">
        <v>857</v>
      </c>
    </row>
    <row r="121" spans="1:15">
      <c r="A121" s="1" t="s">
        <v>362</v>
      </c>
      <c r="B121" s="22">
        <f>+MCFS!D52</f>
        <v>265639</v>
      </c>
      <c r="C121" s="22">
        <f>+MCFS!E52</f>
        <v>265639</v>
      </c>
      <c r="D121" s="22">
        <f>+MCFS!F52</f>
        <v>308187.3</v>
      </c>
      <c r="E121" s="22">
        <f>+MCFS!G52</f>
        <v>666713.19999999995</v>
      </c>
      <c r="F121" s="22">
        <f>+MCFS!H52</f>
        <v>1126064.1000000001</v>
      </c>
      <c r="G121" s="22">
        <f>+MCFS!I52</f>
        <v>1730346.25</v>
      </c>
      <c r="H121" s="22">
        <f>+MCFS!J52</f>
        <v>1909256.8</v>
      </c>
      <c r="I121" s="22">
        <f>+MCFS!K52</f>
        <v>1608302.8</v>
      </c>
      <c r="J121" s="22">
        <f>+MCFS!L52</f>
        <v>1278154.75</v>
      </c>
      <c r="K121" s="22">
        <f>+MCFS!M52</f>
        <v>728922</v>
      </c>
      <c r="L121" s="22">
        <f>+MCFS!N52</f>
        <v>411126.7</v>
      </c>
      <c r="M121" s="22">
        <f>+MCFS!O52</f>
        <v>266900.25</v>
      </c>
      <c r="N121" s="22">
        <f>+MCFS!P52</f>
        <v>10565252.149999999</v>
      </c>
    </row>
    <row r="122" spans="1:15">
      <c r="A122" s="1" t="s">
        <v>360</v>
      </c>
      <c r="B122" s="22">
        <f>+MCFS!D89</f>
        <v>237396.3</v>
      </c>
      <c r="C122" s="22">
        <f>+MCFS!E89</f>
        <v>276343.30000000005</v>
      </c>
      <c r="D122" s="22">
        <f>+MCFS!F89</f>
        <v>310780.5</v>
      </c>
      <c r="E122" s="22">
        <f>+MCFS!G89</f>
        <v>555374.60000000009</v>
      </c>
      <c r="F122" s="22">
        <f>+MCFS!H89</f>
        <v>1041641.6</v>
      </c>
      <c r="G122" s="22">
        <f>+MCFS!I89</f>
        <v>1538484.5000000002</v>
      </c>
      <c r="H122" s="22">
        <f>+MCFS!J89</f>
        <v>1758792.9</v>
      </c>
      <c r="I122" s="22">
        <f>+MCFS!K89</f>
        <v>1565339.9000000001</v>
      </c>
      <c r="J122" s="22">
        <f>+MCFS!L89</f>
        <v>805485.6</v>
      </c>
      <c r="K122" s="22">
        <f>+MCFS!M89</f>
        <v>565655.50000000012</v>
      </c>
      <c r="L122" s="22">
        <f>+MCFS!N89</f>
        <v>372153.9</v>
      </c>
      <c r="M122" s="22">
        <f>+MCFS!O89</f>
        <v>281724.09999999998</v>
      </c>
      <c r="N122" s="22">
        <f>+MCFS!P89</f>
        <v>9309172.7000000011</v>
      </c>
      <c r="O122" s="31">
        <f>N122-N121</f>
        <v>-1256079.4499999974</v>
      </c>
    </row>
    <row r="123" spans="1:15">
      <c r="A123" s="1" t="s">
        <v>361</v>
      </c>
      <c r="B123" s="22">
        <f>+MCFS!D91</f>
        <v>237396.3</v>
      </c>
      <c r="C123" s="22">
        <f>+MCFS!E91</f>
        <v>276343.30000000005</v>
      </c>
      <c r="D123" s="22">
        <f>+MCFS!F91</f>
        <v>310780.5</v>
      </c>
      <c r="E123" s="22">
        <f>+MCFS!G91</f>
        <v>521767.41333333333</v>
      </c>
      <c r="F123" s="22">
        <f>+MCFS!H91</f>
        <v>1122155.7644999998</v>
      </c>
      <c r="G123" s="22">
        <f>+MCFS!I91</f>
        <v>1671354.6206224549</v>
      </c>
      <c r="H123" s="22">
        <f>+MCFS!J91</f>
        <v>1814251.5764768857</v>
      </c>
      <c r="I123" s="22">
        <f>+MCFS!K91</f>
        <v>1595704.6027450983</v>
      </c>
      <c r="J123" s="22">
        <f>+MCFS!L91</f>
        <v>1271793.2385193133</v>
      </c>
      <c r="K123" s="22">
        <f>+MCFS!M91</f>
        <v>542075.86756756762</v>
      </c>
      <c r="L123" s="22">
        <f>+MCFS!N91</f>
        <v>354864.2</v>
      </c>
      <c r="M123" s="22">
        <f>+MCFS!O91</f>
        <v>316380.22091370553</v>
      </c>
      <c r="N123" s="22">
        <f>+MCFS!P91</f>
        <v>10034867.604678359</v>
      </c>
    </row>
    <row r="150" spans="1:14">
      <c r="A150" s="33" t="s">
        <v>568</v>
      </c>
      <c r="B150" s="142">
        <v>40725</v>
      </c>
      <c r="C150" s="142">
        <v>40756</v>
      </c>
      <c r="D150" s="142">
        <v>40787</v>
      </c>
      <c r="E150" s="142">
        <v>40817</v>
      </c>
      <c r="F150" s="142">
        <v>40848</v>
      </c>
      <c r="G150" s="142">
        <v>40878</v>
      </c>
      <c r="H150" s="142">
        <v>40909</v>
      </c>
      <c r="I150" s="142">
        <v>40940</v>
      </c>
      <c r="J150" s="142">
        <v>40969</v>
      </c>
      <c r="K150" s="142">
        <v>41000</v>
      </c>
      <c r="L150" s="142">
        <v>41030</v>
      </c>
      <c r="M150" s="142">
        <v>41061</v>
      </c>
      <c r="N150" s="11" t="s">
        <v>857</v>
      </c>
    </row>
    <row r="151" spans="1:14">
      <c r="A151" s="1" t="s">
        <v>569</v>
      </c>
      <c r="B151" s="22">
        <f>+MCFS!D54</f>
        <v>2800</v>
      </c>
      <c r="C151" s="22">
        <f>+MCFS!E54</f>
        <v>2000</v>
      </c>
      <c r="D151" s="22">
        <f>+MCFS!F54</f>
        <v>2600</v>
      </c>
      <c r="E151" s="22">
        <f>+MCFS!G54</f>
        <v>8000</v>
      </c>
      <c r="F151" s="22">
        <f>+MCFS!H54</f>
        <v>17000</v>
      </c>
      <c r="G151" s="22">
        <f>+MCFS!I54</f>
        <v>30000</v>
      </c>
      <c r="H151" s="22">
        <f>+MCFS!J54</f>
        <v>32000</v>
      </c>
      <c r="I151" s="22">
        <f>+MCFS!K54</f>
        <v>28000</v>
      </c>
      <c r="J151" s="22">
        <f>+MCFS!L54</f>
        <v>20000</v>
      </c>
      <c r="K151" s="22">
        <f>+MCFS!M54</f>
        <v>10000</v>
      </c>
      <c r="L151" s="22">
        <f>+MCFS!N54</f>
        <v>5000</v>
      </c>
      <c r="M151" s="22">
        <f>+MCFS!O54</f>
        <v>3000</v>
      </c>
      <c r="N151" s="22">
        <f>+MCFS!P54</f>
        <v>160400</v>
      </c>
    </row>
    <row r="152" spans="1:14">
      <c r="A152" s="1" t="s">
        <v>570</v>
      </c>
      <c r="B152" s="22">
        <f>+MCFS!D93</f>
        <v>13733.1</v>
      </c>
      <c r="C152" s="22">
        <f>+MCFS!E93</f>
        <v>1893.8</v>
      </c>
      <c r="D152" s="22">
        <f>+MCFS!F93</f>
        <v>1744.5</v>
      </c>
      <c r="E152" s="22">
        <f>+MCFS!G93</f>
        <v>7648.3</v>
      </c>
      <c r="F152" s="22">
        <f>+MCFS!H93</f>
        <v>15898.7</v>
      </c>
      <c r="G152" s="22">
        <f>+MCFS!I93</f>
        <v>18619.7</v>
      </c>
      <c r="H152" s="22">
        <f>+MCFS!J93</f>
        <v>21291.9</v>
      </c>
      <c r="I152" s="22">
        <f>+MCFS!K93</f>
        <v>19317.400000000001</v>
      </c>
      <c r="J152" s="22">
        <f>+MCFS!L93</f>
        <v>13507</v>
      </c>
      <c r="K152" s="22">
        <f>+MCFS!M93</f>
        <v>9796.7999999999993</v>
      </c>
      <c r="L152" s="22">
        <f>+MCFS!N93</f>
        <v>5959.9</v>
      </c>
      <c r="M152" s="22">
        <f>+MCFS!O93</f>
        <v>2504.9</v>
      </c>
      <c r="N152" s="22">
        <f>+MCFS!P93</f>
        <v>131916</v>
      </c>
    </row>
    <row r="153" spans="1:14">
      <c r="A153" s="1" t="s">
        <v>571</v>
      </c>
      <c r="B153" s="22">
        <f>+MCFS!D95</f>
        <v>13733.1</v>
      </c>
      <c r="C153" s="22">
        <f>+MCFS!E95</f>
        <v>1893.8</v>
      </c>
      <c r="D153" s="22">
        <f>+MCFS!F95</f>
        <v>1744.5</v>
      </c>
      <c r="E153" s="22">
        <f>+MCFS!G95</f>
        <v>7425.7372250423014</v>
      </c>
      <c r="F153" s="22">
        <f>+MCFS!H95</f>
        <v>16960.0645</v>
      </c>
      <c r="G153" s="22">
        <f>+MCFS!I95</f>
        <v>19968.672614892381</v>
      </c>
      <c r="H153" s="22">
        <f>+MCFS!J95</f>
        <v>21871.223639902677</v>
      </c>
      <c r="I153" s="22">
        <f>+MCFS!K95</f>
        <v>19635.680784313729</v>
      </c>
      <c r="J153" s="22">
        <f>+MCFS!L95</f>
        <v>20287.94506437768</v>
      </c>
      <c r="K153" s="22">
        <f>+MCFS!M95</f>
        <v>9471.9621621621627</v>
      </c>
      <c r="L153" s="22">
        <f>+MCFS!N95</f>
        <v>5959.9</v>
      </c>
      <c r="M153" s="22">
        <f>+MCFS!O95</f>
        <v>2504.9</v>
      </c>
      <c r="N153" s="22">
        <f>+MCFS!P95</f>
        <v>141457.48599069094</v>
      </c>
    </row>
    <row r="180" spans="1:14">
      <c r="A180" s="33" t="s">
        <v>572</v>
      </c>
      <c r="B180" s="142">
        <v>40725</v>
      </c>
      <c r="C180" s="142">
        <v>40756</v>
      </c>
      <c r="D180" s="142">
        <v>40787</v>
      </c>
      <c r="E180" s="142">
        <v>40817</v>
      </c>
      <c r="F180" s="142">
        <v>40848</v>
      </c>
      <c r="G180" s="142">
        <v>40878</v>
      </c>
      <c r="H180" s="142">
        <v>40909</v>
      </c>
      <c r="I180" s="142">
        <v>40940</v>
      </c>
      <c r="J180" s="142">
        <v>40969</v>
      </c>
      <c r="K180" s="142">
        <v>41000</v>
      </c>
      <c r="L180" s="142">
        <v>41030</v>
      </c>
      <c r="M180" s="142">
        <v>41061</v>
      </c>
      <c r="N180" s="11" t="s">
        <v>857</v>
      </c>
    </row>
    <row r="181" spans="1:14">
      <c r="A181" s="1" t="s">
        <v>573</v>
      </c>
      <c r="B181" s="22">
        <f>+MCFS!D60</f>
        <v>220000</v>
      </c>
      <c r="C181" s="22">
        <f>+MCFS!E60</f>
        <v>230000</v>
      </c>
      <c r="D181" s="22">
        <f>+MCFS!F60</f>
        <v>245000</v>
      </c>
      <c r="E181" s="22">
        <f>+MCFS!G60</f>
        <v>260000</v>
      </c>
      <c r="F181" s="22">
        <f>+MCFS!H60</f>
        <v>310000</v>
      </c>
      <c r="G181" s="22">
        <f>+MCFS!I60</f>
        <v>390000</v>
      </c>
      <c r="H181" s="22">
        <f>+MCFS!J60</f>
        <v>410000</v>
      </c>
      <c r="I181" s="22">
        <f>+MCFS!K60</f>
        <v>330000</v>
      </c>
      <c r="J181" s="22">
        <f>+MCFS!L60</f>
        <v>300000</v>
      </c>
      <c r="K181" s="22">
        <f>+MCFS!M60</f>
        <v>290000</v>
      </c>
      <c r="L181" s="22">
        <f>+MCFS!N60</f>
        <v>230000</v>
      </c>
      <c r="M181" s="22">
        <f>+MCFS!O60</f>
        <v>240000</v>
      </c>
      <c r="N181" s="22">
        <f>+MCFS!P60</f>
        <v>3455000</v>
      </c>
    </row>
    <row r="182" spans="1:14">
      <c r="A182" s="1" t="s">
        <v>574</v>
      </c>
      <c r="B182" s="22">
        <f>+MCFS!D99</f>
        <v>201883.7</v>
      </c>
      <c r="C182" s="22">
        <f>+MCFS!E99</f>
        <v>236809.9</v>
      </c>
      <c r="D182" s="22">
        <f>+MCFS!F99</f>
        <v>253006.5</v>
      </c>
      <c r="E182" s="22">
        <f>+MCFS!G99</f>
        <v>266568.8</v>
      </c>
      <c r="F182" s="22">
        <f>+MCFS!H99</f>
        <v>313472.5</v>
      </c>
      <c r="G182" s="22">
        <f>+MCFS!I99</f>
        <v>337786.9</v>
      </c>
      <c r="H182" s="22">
        <f>+MCFS!J99</f>
        <v>349383.2</v>
      </c>
      <c r="I182" s="22">
        <f>+MCFS!K99</f>
        <v>331778.8</v>
      </c>
      <c r="J182" s="22">
        <f>+MCFS!L99</f>
        <v>285117.7</v>
      </c>
      <c r="K182" s="22">
        <f>+MCFS!M99</f>
        <v>258913.3</v>
      </c>
      <c r="L182" s="22">
        <f>+MCFS!N99</f>
        <v>240207.4</v>
      </c>
      <c r="M182" s="22">
        <f>+MCFS!O99</f>
        <v>225741.4</v>
      </c>
      <c r="N182" s="22">
        <f>+MCFS!P99</f>
        <v>3300670.0999999996</v>
      </c>
    </row>
    <row r="183" spans="1:14">
      <c r="A183" s="1" t="s">
        <v>575</v>
      </c>
      <c r="B183" s="22">
        <f>+MCFS!D101</f>
        <v>201883.7</v>
      </c>
      <c r="C183" s="22">
        <f>+MCFS!E101</f>
        <v>236809.9</v>
      </c>
      <c r="D183" s="22">
        <f>+MCFS!F101</f>
        <v>253006.5</v>
      </c>
      <c r="E183" s="22">
        <f>+MCFS!G101</f>
        <v>262255.85807106597</v>
      </c>
      <c r="F183" s="22">
        <f>+MCFS!H101</f>
        <v>322177.609</v>
      </c>
      <c r="G183" s="22">
        <f>+MCFS!I101</f>
        <v>349060.92626527051</v>
      </c>
      <c r="H183" s="22">
        <f>+MCFS!J101</f>
        <v>353823.64145985403</v>
      </c>
      <c r="I183" s="22">
        <f>+MCFS!K101</f>
        <v>334160.26117647055</v>
      </c>
      <c r="J183" s="22">
        <f>+MCFS!L101</f>
        <v>333054.68390557944</v>
      </c>
      <c r="K183" s="22">
        <f>+MCFS!M101</f>
        <v>256614.92702702701</v>
      </c>
      <c r="L183" s="22">
        <f>+MCFS!N101</f>
        <v>240207.4</v>
      </c>
      <c r="M183" s="22">
        <f>+MCFS!O101</f>
        <v>225741.4</v>
      </c>
      <c r="N183" s="22">
        <f>+MCFS!P101</f>
        <v>3368796.8069052678</v>
      </c>
    </row>
    <row r="210" spans="1:14">
      <c r="A210" s="33" t="s">
        <v>576</v>
      </c>
      <c r="B210" s="142">
        <v>40725</v>
      </c>
      <c r="C210" s="142">
        <v>40756</v>
      </c>
      <c r="D210" s="142">
        <v>40787</v>
      </c>
      <c r="E210" s="142">
        <v>40817</v>
      </c>
      <c r="F210" s="142">
        <v>40848</v>
      </c>
      <c r="G210" s="142">
        <v>40878</v>
      </c>
      <c r="H210" s="142">
        <v>40909</v>
      </c>
      <c r="I210" s="142">
        <v>40940</v>
      </c>
      <c r="J210" s="142">
        <v>40969</v>
      </c>
      <c r="K210" s="142">
        <v>41000</v>
      </c>
      <c r="L210" s="142">
        <v>41030</v>
      </c>
      <c r="M210" s="142">
        <v>41061</v>
      </c>
      <c r="N210" s="11" t="s">
        <v>857</v>
      </c>
    </row>
    <row r="211" spans="1:14">
      <c r="A211" s="1" t="s">
        <v>577</v>
      </c>
      <c r="B211" s="22">
        <f>+MCFS!D64</f>
        <v>224000</v>
      </c>
      <c r="C211" s="22">
        <f>+MCFS!E64</f>
        <v>233200</v>
      </c>
      <c r="D211" s="22">
        <f>+MCFS!F64</f>
        <v>248800</v>
      </c>
      <c r="E211" s="22">
        <f>+MCFS!G64</f>
        <v>269200</v>
      </c>
      <c r="F211" s="22">
        <f>+MCFS!H64</f>
        <v>328200</v>
      </c>
      <c r="G211" s="22">
        <f>+MCFS!I64</f>
        <v>421200</v>
      </c>
      <c r="H211" s="22">
        <f>+MCFS!J64</f>
        <v>443200</v>
      </c>
      <c r="I211" s="22">
        <f>+MCFS!K64</f>
        <v>359200</v>
      </c>
      <c r="J211" s="22">
        <f>+MCFS!L64</f>
        <v>321200</v>
      </c>
      <c r="K211" s="22">
        <f>+MCFS!M64</f>
        <v>301200</v>
      </c>
      <c r="L211" s="22">
        <f>+MCFS!N64</f>
        <v>236200</v>
      </c>
      <c r="M211" s="22">
        <f>+MCFS!O64</f>
        <v>244200</v>
      </c>
      <c r="N211" s="22">
        <f>+MCFS!P64</f>
        <v>3629800</v>
      </c>
    </row>
    <row r="212" spans="1:14">
      <c r="A212" s="1" t="s">
        <v>578</v>
      </c>
      <c r="B212" s="22">
        <f>+MCFS!D103</f>
        <v>216811.1</v>
      </c>
      <c r="C212" s="22">
        <f>+MCFS!E103</f>
        <v>240336.4</v>
      </c>
      <c r="D212" s="22">
        <f>+MCFS!F103</f>
        <v>255779.8</v>
      </c>
      <c r="E212" s="22">
        <f>+MCFS!G103</f>
        <v>275439.8</v>
      </c>
      <c r="F212" s="22">
        <f>+MCFS!H103</f>
        <v>330773.90000000002</v>
      </c>
      <c r="G212" s="22">
        <f>+MCFS!I103</f>
        <v>357854.10000000003</v>
      </c>
      <c r="H212" s="22">
        <f>+MCFS!J103</f>
        <v>372037</v>
      </c>
      <c r="I212" s="22">
        <f>+MCFS!K103</f>
        <v>352315.7</v>
      </c>
      <c r="J212" s="22">
        <f>+MCFS!L103</f>
        <v>299981</v>
      </c>
      <c r="K212" s="22">
        <f>+MCFS!M103</f>
        <v>269909.3</v>
      </c>
      <c r="L212" s="22">
        <f>+MCFS!N103</f>
        <v>247803</v>
      </c>
      <c r="M212" s="22">
        <f>+MCFS!O103</f>
        <v>229430.5</v>
      </c>
      <c r="N212" s="22">
        <f>+MCFS!P103</f>
        <v>3448471.6</v>
      </c>
    </row>
    <row r="213" spans="1:14">
      <c r="A213" s="1" t="s">
        <v>579</v>
      </c>
      <c r="B213" s="22">
        <f>+MCFS!D105</f>
        <v>216811.1</v>
      </c>
      <c r="C213" s="22">
        <f>+MCFS!E105</f>
        <v>240336.4</v>
      </c>
      <c r="D213" s="22">
        <f>+MCFS!F105</f>
        <v>254751</v>
      </c>
      <c r="E213" s="22">
        <f>+MCFS!G105</f>
        <v>269681.59529610828</v>
      </c>
      <c r="F213" s="22">
        <f>+MCFS!H105</f>
        <v>339137.67349999998</v>
      </c>
      <c r="G213" s="22">
        <f>+MCFS!I105</f>
        <v>369029.59888016287</v>
      </c>
      <c r="H213" s="22">
        <f>+MCFS!J105</f>
        <v>375694.86509975669</v>
      </c>
      <c r="I213" s="22">
        <f>+MCFS!K105</f>
        <v>353795.94196078426</v>
      </c>
      <c r="J213" s="22">
        <f>+MCFS!L105</f>
        <v>353342.62896995712</v>
      </c>
      <c r="K213" s="22">
        <f>+MCFS!M105</f>
        <v>266086.88918918918</v>
      </c>
      <c r="L213" s="22">
        <f>+MCFS!N105</f>
        <v>246167.3</v>
      </c>
      <c r="M213" s="22">
        <f>+MCFS!O105</f>
        <v>228246.3</v>
      </c>
      <c r="N213" s="22">
        <f>+MCFS!P105</f>
        <v>3513081.2928959583</v>
      </c>
    </row>
    <row r="240" spans="1:14">
      <c r="A240" s="33" t="s">
        <v>580</v>
      </c>
      <c r="B240" s="142">
        <v>40725</v>
      </c>
      <c r="C240" s="142">
        <v>40756</v>
      </c>
      <c r="D240" s="142">
        <v>40787</v>
      </c>
      <c r="E240" s="142">
        <v>40817</v>
      </c>
      <c r="F240" s="142">
        <v>40848</v>
      </c>
      <c r="G240" s="142">
        <v>40878</v>
      </c>
      <c r="H240" s="142">
        <v>40909</v>
      </c>
      <c r="I240" s="142">
        <v>40940</v>
      </c>
      <c r="J240" s="142">
        <v>40969</v>
      </c>
      <c r="K240" s="142">
        <v>41000</v>
      </c>
      <c r="L240" s="142">
        <v>41030</v>
      </c>
      <c r="M240" s="142">
        <v>41061</v>
      </c>
      <c r="N240" s="11" t="s">
        <v>857</v>
      </c>
    </row>
    <row r="241" spans="1:14">
      <c r="A241" s="1" t="s">
        <v>581</v>
      </c>
      <c r="B241" s="22">
        <f>+MCFS!D68</f>
        <v>489639</v>
      </c>
      <c r="C241" s="22">
        <f>+MCFS!E68</f>
        <v>498839</v>
      </c>
      <c r="D241" s="22">
        <f>+MCFS!F68</f>
        <v>556987.30000000005</v>
      </c>
      <c r="E241" s="22">
        <f>+MCFS!G68</f>
        <v>935913.2</v>
      </c>
      <c r="F241" s="22">
        <f>+MCFS!H68</f>
        <v>1454264.1</v>
      </c>
      <c r="G241" s="22">
        <f>+MCFS!I68</f>
        <v>2151546.25</v>
      </c>
      <c r="H241" s="22">
        <f>+MCFS!J68</f>
        <v>2352456.7999999998</v>
      </c>
      <c r="I241" s="22">
        <f>+MCFS!K68</f>
        <v>1967502.8</v>
      </c>
      <c r="J241" s="22">
        <f>+MCFS!L68</f>
        <v>1599354.75</v>
      </c>
      <c r="K241" s="22">
        <f>+MCFS!M68</f>
        <v>1030122</v>
      </c>
      <c r="L241" s="22">
        <f>+MCFS!N68</f>
        <v>647326.69999999995</v>
      </c>
      <c r="M241" s="22">
        <f>+MCFS!O68</f>
        <v>511100.25</v>
      </c>
      <c r="N241" s="22">
        <f>+MCFS!P68</f>
        <v>14195052.149999999</v>
      </c>
    </row>
    <row r="242" spans="1:14">
      <c r="A242" s="1" t="s">
        <v>582</v>
      </c>
      <c r="B242" s="22">
        <f>+MCFS!D107</f>
        <v>454207.4</v>
      </c>
      <c r="C242" s="22">
        <f>+MCFS!E107</f>
        <v>516679.70000000007</v>
      </c>
      <c r="D242" s="22">
        <f>+MCFS!F107</f>
        <v>566560.30000000005</v>
      </c>
      <c r="E242" s="22">
        <f>+MCFS!G107</f>
        <v>830814.40000000014</v>
      </c>
      <c r="F242" s="22">
        <f>+MCFS!H107</f>
        <v>1372415.5</v>
      </c>
      <c r="G242" s="22">
        <f>+MCFS!I107</f>
        <v>1896338.6000000003</v>
      </c>
      <c r="H242" s="22">
        <f>+MCFS!J107</f>
        <v>2130829.9</v>
      </c>
      <c r="I242" s="22">
        <f>+MCFS!K107</f>
        <v>1917655.6</v>
      </c>
      <c r="J242" s="22">
        <f>+MCFS!L107</f>
        <v>1105466.6000000001</v>
      </c>
      <c r="K242" s="22">
        <f>+MCFS!M107</f>
        <v>835564.8</v>
      </c>
      <c r="L242" s="22">
        <f>+MCFS!N107</f>
        <v>619956.9</v>
      </c>
      <c r="M242" s="22">
        <f>+MCFS!O107</f>
        <v>511154.6</v>
      </c>
      <c r="N242" s="22">
        <f>+MCFS!P107</f>
        <v>12757644.300000001</v>
      </c>
    </row>
    <row r="243" spans="1:14">
      <c r="A243" s="1" t="s">
        <v>583</v>
      </c>
      <c r="B243" s="22">
        <f>+MCFS!D109</f>
        <v>454207.4</v>
      </c>
      <c r="C243" s="22">
        <f>+MCFS!E109</f>
        <v>516679.70000000007</v>
      </c>
      <c r="D243" s="22">
        <f>+MCFS!F109</f>
        <v>565531.5</v>
      </c>
      <c r="E243" s="22">
        <f>+MCFS!G109</f>
        <v>791449.00862944161</v>
      </c>
      <c r="F243" s="22">
        <f>+MCFS!H109</f>
        <v>1461293.4379999998</v>
      </c>
      <c r="G243" s="22">
        <f>+MCFS!I109</f>
        <v>2040384.2195026178</v>
      </c>
      <c r="H243" s="22">
        <f>+MCFS!J109</f>
        <v>2189946.4415766424</v>
      </c>
      <c r="I243" s="22">
        <f>+MCFS!K109</f>
        <v>1949500.5447058827</v>
      </c>
      <c r="J243" s="22">
        <f>+MCFS!L109</f>
        <v>1625135.8674892704</v>
      </c>
      <c r="K243" s="22">
        <f>+MCFS!M109</f>
        <v>808162.7567567568</v>
      </c>
      <c r="L243" s="22">
        <f>+MCFS!N109</f>
        <v>601031.5</v>
      </c>
      <c r="M243" s="22">
        <f>+MCFS!O109</f>
        <v>544626.52091370546</v>
      </c>
      <c r="N243" s="22">
        <f>+MCFS!P109</f>
        <v>13547948.897574317</v>
      </c>
    </row>
    <row r="275" spans="1:15">
      <c r="A275" s="33" t="s">
        <v>715</v>
      </c>
      <c r="B275" s="142">
        <v>40725</v>
      </c>
      <c r="C275" s="142">
        <v>40756</v>
      </c>
      <c r="D275" s="142">
        <v>40787</v>
      </c>
      <c r="E275" s="142">
        <v>40817</v>
      </c>
      <c r="F275" s="142">
        <v>40848</v>
      </c>
      <c r="G275" s="142">
        <v>40878</v>
      </c>
      <c r="H275" s="142">
        <v>40909</v>
      </c>
      <c r="I275" s="142">
        <v>40940</v>
      </c>
      <c r="J275" s="142">
        <v>40969</v>
      </c>
      <c r="K275" s="142">
        <v>41000</v>
      </c>
      <c r="L275" s="142">
        <v>41030</v>
      </c>
      <c r="M275" s="142">
        <v>41061</v>
      </c>
      <c r="N275" s="11" t="s">
        <v>857</v>
      </c>
    </row>
    <row r="276" spans="1:15">
      <c r="A276" s="1" t="s">
        <v>358</v>
      </c>
      <c r="B276" s="22">
        <f>B2</f>
        <v>115134</v>
      </c>
      <c r="C276" s="22">
        <f t="shared" ref="C276:M276" si="0">C2</f>
        <v>115134</v>
      </c>
      <c r="D276" s="22">
        <f t="shared" si="0"/>
        <v>143862.79999999999</v>
      </c>
      <c r="E276" s="22">
        <f t="shared" si="0"/>
        <v>369685.2</v>
      </c>
      <c r="F276" s="22">
        <f t="shared" si="0"/>
        <v>662947.6</v>
      </c>
      <c r="G276" s="22">
        <f t="shared" si="0"/>
        <v>1044745</v>
      </c>
      <c r="H276" s="22">
        <f t="shared" si="0"/>
        <v>1158294.8</v>
      </c>
      <c r="I276" s="22">
        <f t="shared" si="0"/>
        <v>972460.8</v>
      </c>
      <c r="J276" s="22">
        <f t="shared" si="0"/>
        <v>757751</v>
      </c>
      <c r="K276" s="22">
        <f t="shared" si="0"/>
        <v>410892</v>
      </c>
      <c r="L276" s="22">
        <f t="shared" si="0"/>
        <v>207471.2</v>
      </c>
      <c r="M276" s="22">
        <f t="shared" si="0"/>
        <v>117659</v>
      </c>
      <c r="N276" s="22">
        <f>SUM(B276:M276)</f>
        <v>6076037.4000000004</v>
      </c>
      <c r="O276" s="124">
        <f>N276/$N$282</f>
        <v>0.42726854829931277</v>
      </c>
    </row>
    <row r="277" spans="1:15">
      <c r="A277" s="1" t="s">
        <v>710</v>
      </c>
      <c r="B277" s="22">
        <f>+B31</f>
        <v>84289</v>
      </c>
      <c r="C277" s="22">
        <f t="shared" ref="C277:M277" si="1">+C31</f>
        <v>84289</v>
      </c>
      <c r="D277" s="22">
        <f t="shared" si="1"/>
        <v>93791.3</v>
      </c>
      <c r="E277" s="22">
        <f t="shared" si="1"/>
        <v>180179.20000000001</v>
      </c>
      <c r="F277" s="22">
        <f t="shared" si="1"/>
        <v>289332.09999999998</v>
      </c>
      <c r="G277" s="22">
        <f t="shared" si="1"/>
        <v>434476.25</v>
      </c>
      <c r="H277" s="22">
        <f t="shared" si="1"/>
        <v>477250.8</v>
      </c>
      <c r="I277" s="22">
        <f t="shared" si="1"/>
        <v>403286.8</v>
      </c>
      <c r="J277" s="22">
        <f t="shared" si="1"/>
        <v>326364.75</v>
      </c>
      <c r="K277" s="22">
        <f t="shared" si="1"/>
        <v>194382</v>
      </c>
      <c r="L277" s="22">
        <f t="shared" si="1"/>
        <v>119072.7</v>
      </c>
      <c r="M277" s="22">
        <f t="shared" si="1"/>
        <v>83920.25</v>
      </c>
      <c r="N277" s="22">
        <f t="shared" ref="N277:N284" si="2">SUM(B277:M277)</f>
        <v>2770634.1500000004</v>
      </c>
      <c r="O277" s="124">
        <f t="shared" ref="O277:O284" si="3">N277/$N$282</f>
        <v>0.19483172225684464</v>
      </c>
    </row>
    <row r="278" spans="1:15">
      <c r="A278" s="1" t="s">
        <v>100</v>
      </c>
      <c r="B278" s="22">
        <f>B61</f>
        <v>62682</v>
      </c>
      <c r="C278" s="22">
        <f t="shared" ref="C278:M278" si="4">C61</f>
        <v>62682</v>
      </c>
      <c r="D278" s="22">
        <f t="shared" si="4"/>
        <v>65743</v>
      </c>
      <c r="E278" s="22">
        <f t="shared" si="4"/>
        <v>102564</v>
      </c>
      <c r="F278" s="22">
        <f t="shared" si="4"/>
        <v>147071</v>
      </c>
      <c r="G278" s="22">
        <f t="shared" si="4"/>
        <v>208329.5</v>
      </c>
      <c r="H278" s="22">
        <f t="shared" si="4"/>
        <v>226120</v>
      </c>
      <c r="I278" s="22">
        <f t="shared" si="4"/>
        <v>192684</v>
      </c>
      <c r="J278" s="22">
        <f t="shared" si="4"/>
        <v>163364.5</v>
      </c>
      <c r="K278" s="22">
        <f t="shared" si="4"/>
        <v>107580</v>
      </c>
      <c r="L278" s="22">
        <f t="shared" si="4"/>
        <v>77149</v>
      </c>
      <c r="M278" s="22">
        <f t="shared" si="4"/>
        <v>61637.5</v>
      </c>
      <c r="N278" s="22">
        <f t="shared" si="2"/>
        <v>1477606.5</v>
      </c>
      <c r="O278" s="124">
        <f t="shared" si="3"/>
        <v>0.10390567777160628</v>
      </c>
    </row>
    <row r="279" spans="1:15">
      <c r="A279" s="1" t="s">
        <v>711</v>
      </c>
      <c r="B279" s="22">
        <f>B91</f>
        <v>3534</v>
      </c>
      <c r="C279" s="22">
        <f t="shared" ref="C279:M279" si="5">C91</f>
        <v>3534</v>
      </c>
      <c r="D279" s="22">
        <f t="shared" si="5"/>
        <v>4790.2</v>
      </c>
      <c r="E279" s="22">
        <f t="shared" si="5"/>
        <v>14284.800000000001</v>
      </c>
      <c r="F279" s="22">
        <f t="shared" si="5"/>
        <v>26713.399999999998</v>
      </c>
      <c r="G279" s="22">
        <f t="shared" si="5"/>
        <v>42795.5</v>
      </c>
      <c r="H279" s="22">
        <f t="shared" si="5"/>
        <v>47591.200000000004</v>
      </c>
      <c r="I279" s="22">
        <f t="shared" si="5"/>
        <v>39871.200000000004</v>
      </c>
      <c r="J279" s="22">
        <f t="shared" si="5"/>
        <v>30674.5</v>
      </c>
      <c r="K279" s="22">
        <f t="shared" si="5"/>
        <v>16068</v>
      </c>
      <c r="L279" s="22">
        <f t="shared" si="5"/>
        <v>7433.7999999999993</v>
      </c>
      <c r="M279" s="22">
        <f t="shared" si="5"/>
        <v>3683.5</v>
      </c>
      <c r="N279" s="22">
        <f t="shared" si="2"/>
        <v>240974.1</v>
      </c>
      <c r="O279" s="124">
        <f t="shared" si="3"/>
        <v>1.6945362101413897E-2</v>
      </c>
    </row>
    <row r="280" spans="1:15">
      <c r="A280" s="1" t="s">
        <v>712</v>
      </c>
      <c r="B280" s="22">
        <f>B151</f>
        <v>2800</v>
      </c>
      <c r="C280" s="22">
        <f t="shared" ref="C280:M280" si="6">C151</f>
        <v>2000</v>
      </c>
      <c r="D280" s="22">
        <f t="shared" si="6"/>
        <v>2600</v>
      </c>
      <c r="E280" s="22">
        <f t="shared" si="6"/>
        <v>8000</v>
      </c>
      <c r="F280" s="22">
        <f t="shared" si="6"/>
        <v>17000</v>
      </c>
      <c r="G280" s="22">
        <f t="shared" si="6"/>
        <v>30000</v>
      </c>
      <c r="H280" s="22">
        <f t="shared" si="6"/>
        <v>32000</v>
      </c>
      <c r="I280" s="22">
        <f t="shared" si="6"/>
        <v>28000</v>
      </c>
      <c r="J280" s="22">
        <f t="shared" si="6"/>
        <v>20000</v>
      </c>
      <c r="K280" s="22">
        <f t="shared" si="6"/>
        <v>10000</v>
      </c>
      <c r="L280" s="22">
        <f t="shared" si="6"/>
        <v>5000</v>
      </c>
      <c r="M280" s="22">
        <f t="shared" si="6"/>
        <v>3000</v>
      </c>
      <c r="N280" s="22">
        <f t="shared" si="2"/>
        <v>160400</v>
      </c>
      <c r="O280" s="124">
        <f t="shared" si="3"/>
        <v>1.1279370194003374E-2</v>
      </c>
    </row>
    <row r="281" spans="1:15">
      <c r="A281" s="1" t="s">
        <v>101</v>
      </c>
      <c r="B281" s="22">
        <f>C181</f>
        <v>230000</v>
      </c>
      <c r="C281" s="22">
        <f>D181</f>
        <v>245000</v>
      </c>
      <c r="D281" s="22">
        <f>E181</f>
        <v>260000</v>
      </c>
      <c r="E281" s="22">
        <f t="shared" ref="E281:M281" si="7">E181</f>
        <v>260000</v>
      </c>
      <c r="F281" s="22">
        <f t="shared" si="7"/>
        <v>310000</v>
      </c>
      <c r="G281" s="22">
        <f t="shared" si="7"/>
        <v>390000</v>
      </c>
      <c r="H281" s="22">
        <f t="shared" si="7"/>
        <v>410000</v>
      </c>
      <c r="I281" s="22">
        <f t="shared" si="7"/>
        <v>330000</v>
      </c>
      <c r="J281" s="22">
        <f t="shared" si="7"/>
        <v>300000</v>
      </c>
      <c r="K281" s="22">
        <f t="shared" si="7"/>
        <v>290000</v>
      </c>
      <c r="L281" s="22">
        <f t="shared" si="7"/>
        <v>230000</v>
      </c>
      <c r="M281" s="22">
        <f t="shared" si="7"/>
        <v>240000</v>
      </c>
      <c r="N281" s="22">
        <f t="shared" si="2"/>
        <v>3495000</v>
      </c>
      <c r="O281" s="124">
        <f t="shared" si="3"/>
        <v>0.24576931937681917</v>
      </c>
    </row>
    <row r="282" spans="1:15">
      <c r="A282" s="1" t="s">
        <v>0</v>
      </c>
      <c r="B282" s="22">
        <f>SUM(B276:B281)</f>
        <v>498439</v>
      </c>
      <c r="C282" s="22">
        <f t="shared" ref="C282:M282" si="8">SUM(C276:C281)</f>
        <v>512639</v>
      </c>
      <c r="D282" s="22">
        <f t="shared" si="8"/>
        <v>570787.30000000005</v>
      </c>
      <c r="E282" s="22">
        <f t="shared" si="8"/>
        <v>934713.20000000007</v>
      </c>
      <c r="F282" s="22">
        <f t="shared" si="8"/>
        <v>1453064.0999999999</v>
      </c>
      <c r="G282" s="22">
        <f t="shared" si="8"/>
        <v>2150346.25</v>
      </c>
      <c r="H282" s="22">
        <f t="shared" si="8"/>
        <v>2351256.7999999998</v>
      </c>
      <c r="I282" s="22">
        <f t="shared" si="8"/>
        <v>1966302.8</v>
      </c>
      <c r="J282" s="22">
        <f t="shared" si="8"/>
        <v>1598154.75</v>
      </c>
      <c r="K282" s="22">
        <f t="shared" si="8"/>
        <v>1028922</v>
      </c>
      <c r="L282" s="22">
        <f t="shared" si="8"/>
        <v>646126.69999999995</v>
      </c>
      <c r="M282" s="22">
        <f t="shared" si="8"/>
        <v>509900.25</v>
      </c>
      <c r="N282" s="22">
        <f t="shared" si="2"/>
        <v>14220652.149999999</v>
      </c>
    </row>
    <row r="283" spans="1:15">
      <c r="A283" s="1" t="s">
        <v>155</v>
      </c>
      <c r="B283" s="22">
        <f>SUM(B276:B279)</f>
        <v>265639</v>
      </c>
      <c r="C283" s="22">
        <f t="shared" ref="C283:M283" si="9">SUM(C276:C279)</f>
        <v>265639</v>
      </c>
      <c r="D283" s="22">
        <f t="shared" si="9"/>
        <v>308187.3</v>
      </c>
      <c r="E283" s="22">
        <f t="shared" si="9"/>
        <v>666713.20000000007</v>
      </c>
      <c r="F283" s="22">
        <f t="shared" si="9"/>
        <v>1126064.0999999999</v>
      </c>
      <c r="G283" s="22">
        <f t="shared" si="9"/>
        <v>1730346.25</v>
      </c>
      <c r="H283" s="22">
        <f t="shared" si="9"/>
        <v>1909256.8</v>
      </c>
      <c r="I283" s="22">
        <f t="shared" si="9"/>
        <v>1608302.8</v>
      </c>
      <c r="J283" s="22">
        <f t="shared" si="9"/>
        <v>1278154.75</v>
      </c>
      <c r="K283" s="22">
        <f t="shared" si="9"/>
        <v>728922</v>
      </c>
      <c r="L283" s="22">
        <f t="shared" si="9"/>
        <v>411126.7</v>
      </c>
      <c r="M283" s="22">
        <f t="shared" si="9"/>
        <v>266900.25</v>
      </c>
      <c r="N283" s="22">
        <f t="shared" si="2"/>
        <v>10565252.149999999</v>
      </c>
      <c r="O283" s="124">
        <f t="shared" si="3"/>
        <v>0.74295131042917739</v>
      </c>
    </row>
    <row r="284" spans="1:15">
      <c r="A284" s="1" t="s">
        <v>316</v>
      </c>
      <c r="B284" s="22">
        <f>SUM(B280:B281)</f>
        <v>232800</v>
      </c>
      <c r="C284" s="22">
        <f t="shared" ref="C284:M284" si="10">SUM(C280:C281)</f>
        <v>247000</v>
      </c>
      <c r="D284" s="22">
        <f t="shared" si="10"/>
        <v>262600</v>
      </c>
      <c r="E284" s="22">
        <f t="shared" si="10"/>
        <v>268000</v>
      </c>
      <c r="F284" s="22">
        <f t="shared" si="10"/>
        <v>327000</v>
      </c>
      <c r="G284" s="22">
        <f t="shared" si="10"/>
        <v>420000</v>
      </c>
      <c r="H284" s="22">
        <f t="shared" si="10"/>
        <v>442000</v>
      </c>
      <c r="I284" s="22">
        <f t="shared" si="10"/>
        <v>358000</v>
      </c>
      <c r="J284" s="22">
        <f t="shared" si="10"/>
        <v>320000</v>
      </c>
      <c r="K284" s="22">
        <f t="shared" si="10"/>
        <v>300000</v>
      </c>
      <c r="L284" s="22">
        <f t="shared" si="10"/>
        <v>235000</v>
      </c>
      <c r="M284" s="22">
        <f t="shared" si="10"/>
        <v>243000</v>
      </c>
      <c r="N284" s="22">
        <f t="shared" si="2"/>
        <v>3655400</v>
      </c>
      <c r="O284" s="124">
        <f t="shared" si="3"/>
        <v>0.25704868957082255</v>
      </c>
    </row>
    <row r="285" spans="1:15">
      <c r="A285" s="1" t="s">
        <v>713</v>
      </c>
      <c r="B285" s="124">
        <f>B283/B282</f>
        <v>0.53294184443833648</v>
      </c>
      <c r="C285" s="124">
        <f t="shared" ref="C285:M285" si="11">C283/C282</f>
        <v>0.51817945961973244</v>
      </c>
      <c r="D285" s="124">
        <f t="shared" si="11"/>
        <v>0.53993370209883784</v>
      </c>
      <c r="E285" s="124">
        <f t="shared" si="11"/>
        <v>0.71328103636495133</v>
      </c>
      <c r="F285" s="124">
        <f t="shared" si="11"/>
        <v>0.7749583105108715</v>
      </c>
      <c r="G285" s="124">
        <f t="shared" si="11"/>
        <v>0.80468261797373331</v>
      </c>
      <c r="H285" s="124">
        <f t="shared" si="11"/>
        <v>0.8120154293652655</v>
      </c>
      <c r="I285" s="124">
        <f t="shared" si="11"/>
        <v>0.81793241610600365</v>
      </c>
      <c r="J285" s="124">
        <f t="shared" si="11"/>
        <v>0.7997690774313313</v>
      </c>
      <c r="K285" s="124">
        <f t="shared" si="11"/>
        <v>0.70843270918495282</v>
      </c>
      <c r="L285" s="124">
        <f t="shared" si="11"/>
        <v>0.63629424383793465</v>
      </c>
      <c r="M285" s="124">
        <f t="shared" si="11"/>
        <v>0.52343620149235071</v>
      </c>
      <c r="N285" s="124">
        <f>N283/N282</f>
        <v>0.74295131042917739</v>
      </c>
    </row>
    <row r="286" spans="1:15">
      <c r="A286" s="1" t="s">
        <v>714</v>
      </c>
      <c r="B286" s="124">
        <f>B284/B282</f>
        <v>0.46705815556166352</v>
      </c>
      <c r="C286" s="124">
        <f t="shared" ref="C286:M286" si="12">C284/C282</f>
        <v>0.48182054038026761</v>
      </c>
      <c r="D286" s="124">
        <f t="shared" si="12"/>
        <v>0.4600662979011621</v>
      </c>
      <c r="E286" s="124">
        <f t="shared" si="12"/>
        <v>0.28671896363504867</v>
      </c>
      <c r="F286" s="124">
        <f t="shared" si="12"/>
        <v>0.22504168948912856</v>
      </c>
      <c r="G286" s="124">
        <f t="shared" si="12"/>
        <v>0.19531738202626669</v>
      </c>
      <c r="H286" s="124">
        <f t="shared" si="12"/>
        <v>0.18798457063473459</v>
      </c>
      <c r="I286" s="124">
        <f t="shared" si="12"/>
        <v>0.18206758389399638</v>
      </c>
      <c r="J286" s="124">
        <f t="shared" si="12"/>
        <v>0.20023092256866865</v>
      </c>
      <c r="K286" s="124">
        <f t="shared" si="12"/>
        <v>0.29156729081504723</v>
      </c>
      <c r="L286" s="124">
        <f t="shared" si="12"/>
        <v>0.36370575616206546</v>
      </c>
      <c r="M286" s="124">
        <f t="shared" si="12"/>
        <v>0.47656379850764929</v>
      </c>
      <c r="N286" s="124">
        <f>N284/N282</f>
        <v>0.25704868957082255</v>
      </c>
    </row>
    <row r="353" spans="1:14">
      <c r="A353" s="33" t="s">
        <v>1</v>
      </c>
      <c r="B353" s="10">
        <v>31</v>
      </c>
      <c r="C353" s="10">
        <v>31</v>
      </c>
      <c r="D353" s="10">
        <v>30</v>
      </c>
      <c r="E353" s="10">
        <v>31</v>
      </c>
      <c r="F353" s="10">
        <v>30</v>
      </c>
      <c r="G353" s="10">
        <v>31</v>
      </c>
      <c r="H353" s="10">
        <v>31</v>
      </c>
      <c r="I353" s="10">
        <v>29</v>
      </c>
      <c r="J353" s="10">
        <v>31</v>
      </c>
      <c r="K353" s="10">
        <v>30</v>
      </c>
      <c r="L353" s="10">
        <v>31</v>
      </c>
      <c r="M353" s="10">
        <v>30</v>
      </c>
    </row>
    <row r="354" spans="1:14">
      <c r="A354" s="33" t="s">
        <v>716</v>
      </c>
      <c r="B354" s="142">
        <v>40725</v>
      </c>
      <c r="C354" s="142">
        <v>40756</v>
      </c>
      <c r="D354" s="142">
        <v>40787</v>
      </c>
      <c r="E354" s="142">
        <v>40817</v>
      </c>
      <c r="F354" s="142">
        <v>40848</v>
      </c>
      <c r="G354" s="142">
        <v>40878</v>
      </c>
      <c r="H354" s="142">
        <v>40909</v>
      </c>
      <c r="I354" s="142">
        <v>40940</v>
      </c>
      <c r="J354" s="142">
        <v>40969</v>
      </c>
      <c r="K354" s="142">
        <v>41000</v>
      </c>
      <c r="L354" s="142">
        <v>41030</v>
      </c>
      <c r="M354" s="142">
        <v>41061</v>
      </c>
      <c r="N354" s="11" t="s">
        <v>857</v>
      </c>
    </row>
    <row r="355" spans="1:14">
      <c r="A355" s="1" t="s">
        <v>358</v>
      </c>
      <c r="B355" s="22">
        <f>B276/B353</f>
        <v>3714</v>
      </c>
      <c r="C355" s="22">
        <f t="shared" ref="C355:M355" si="13">C276/C353</f>
        <v>3714</v>
      </c>
      <c r="D355" s="22">
        <f t="shared" si="13"/>
        <v>4795.4266666666663</v>
      </c>
      <c r="E355" s="22">
        <f t="shared" si="13"/>
        <v>11925.329032258065</v>
      </c>
      <c r="F355" s="22">
        <f t="shared" si="13"/>
        <v>22098.253333333334</v>
      </c>
      <c r="G355" s="22">
        <f t="shared" si="13"/>
        <v>33701.451612903227</v>
      </c>
      <c r="H355" s="22">
        <f t="shared" si="13"/>
        <v>37364.348387096776</v>
      </c>
      <c r="I355" s="22">
        <f t="shared" si="13"/>
        <v>33533.131034482758</v>
      </c>
      <c r="J355" s="22">
        <f t="shared" si="13"/>
        <v>24443.580645161292</v>
      </c>
      <c r="K355" s="22">
        <f t="shared" si="13"/>
        <v>13696.4</v>
      </c>
      <c r="L355" s="22">
        <f t="shared" si="13"/>
        <v>6692.61935483871</v>
      </c>
      <c r="M355" s="22">
        <f t="shared" si="13"/>
        <v>3921.9666666666667</v>
      </c>
      <c r="N355" s="22"/>
    </row>
    <row r="356" spans="1:14">
      <c r="A356" s="1" t="s">
        <v>710</v>
      </c>
      <c r="B356" s="22">
        <f>B277/B353</f>
        <v>2719</v>
      </c>
      <c r="C356" s="22">
        <f t="shared" ref="C356:M356" si="14">C277/C353</f>
        <v>2719</v>
      </c>
      <c r="D356" s="22">
        <f t="shared" si="14"/>
        <v>3126.3766666666666</v>
      </c>
      <c r="E356" s="22">
        <f t="shared" si="14"/>
        <v>5812.2322580645168</v>
      </c>
      <c r="F356" s="22">
        <f t="shared" si="14"/>
        <v>9644.4033333333318</v>
      </c>
      <c r="G356" s="22">
        <f t="shared" si="14"/>
        <v>14015.362903225807</v>
      </c>
      <c r="H356" s="22">
        <f t="shared" si="14"/>
        <v>15395.187096774192</v>
      </c>
      <c r="I356" s="22">
        <f t="shared" si="14"/>
        <v>13906.441379310345</v>
      </c>
      <c r="J356" s="22">
        <f t="shared" si="14"/>
        <v>10527.895161290322</v>
      </c>
      <c r="K356" s="22">
        <f t="shared" si="14"/>
        <v>6479.4</v>
      </c>
      <c r="L356" s="22">
        <f t="shared" si="14"/>
        <v>3841.0548387096774</v>
      </c>
      <c r="M356" s="22">
        <f t="shared" si="14"/>
        <v>2797.3416666666667</v>
      </c>
      <c r="N356" s="22"/>
    </row>
    <row r="357" spans="1:14">
      <c r="A357" s="1" t="s">
        <v>100</v>
      </c>
      <c r="B357" s="22">
        <f>B278/B353</f>
        <v>2022</v>
      </c>
      <c r="C357" s="22">
        <f t="shared" ref="C357:M357" si="15">C278/C353</f>
        <v>2022</v>
      </c>
      <c r="D357" s="22">
        <f t="shared" si="15"/>
        <v>2191.4333333333334</v>
      </c>
      <c r="E357" s="22">
        <f t="shared" si="15"/>
        <v>3308.516129032258</v>
      </c>
      <c r="F357" s="22">
        <f t="shared" si="15"/>
        <v>4902.3666666666668</v>
      </c>
      <c r="G357" s="22">
        <f t="shared" si="15"/>
        <v>6720.3064516129034</v>
      </c>
      <c r="H357" s="22">
        <f t="shared" si="15"/>
        <v>7294.1935483870966</v>
      </c>
      <c r="I357" s="22">
        <f t="shared" si="15"/>
        <v>6644.2758620689656</v>
      </c>
      <c r="J357" s="22">
        <f t="shared" si="15"/>
        <v>5269.822580645161</v>
      </c>
      <c r="K357" s="22">
        <f t="shared" si="15"/>
        <v>3586</v>
      </c>
      <c r="L357" s="22">
        <f t="shared" si="15"/>
        <v>2488.6774193548385</v>
      </c>
      <c r="M357" s="22">
        <f t="shared" si="15"/>
        <v>2054.5833333333335</v>
      </c>
      <c r="N357" s="22"/>
    </row>
    <row r="358" spans="1:14">
      <c r="A358" s="1" t="s">
        <v>711</v>
      </c>
      <c r="B358" s="22">
        <f>B279/B353</f>
        <v>114</v>
      </c>
      <c r="C358" s="22">
        <f t="shared" ref="C358:M358" si="16">C279/C353</f>
        <v>114</v>
      </c>
      <c r="D358" s="22">
        <f t="shared" si="16"/>
        <v>159.67333333333332</v>
      </c>
      <c r="E358" s="22">
        <f t="shared" si="16"/>
        <v>460.8</v>
      </c>
      <c r="F358" s="22">
        <f t="shared" si="16"/>
        <v>890.4466666666666</v>
      </c>
      <c r="G358" s="22">
        <f t="shared" si="16"/>
        <v>1380.5</v>
      </c>
      <c r="H358" s="22">
        <f t="shared" si="16"/>
        <v>1535.2</v>
      </c>
      <c r="I358" s="22">
        <f t="shared" si="16"/>
        <v>1374.8689655172416</v>
      </c>
      <c r="J358" s="22">
        <f t="shared" si="16"/>
        <v>989.5</v>
      </c>
      <c r="K358" s="22">
        <f t="shared" si="16"/>
        <v>535.6</v>
      </c>
      <c r="L358" s="22">
        <f t="shared" si="16"/>
        <v>239.79999999999998</v>
      </c>
      <c r="M358" s="22">
        <f t="shared" si="16"/>
        <v>122.78333333333333</v>
      </c>
      <c r="N358" s="22"/>
    </row>
    <row r="359" spans="1:14">
      <c r="A359" s="1" t="s">
        <v>712</v>
      </c>
      <c r="B359" s="22">
        <f>B280/B353</f>
        <v>90.322580645161295</v>
      </c>
      <c r="C359" s="22">
        <f t="shared" ref="C359:M359" si="17">C280/C353</f>
        <v>64.516129032258064</v>
      </c>
      <c r="D359" s="22">
        <f t="shared" si="17"/>
        <v>86.666666666666671</v>
      </c>
      <c r="E359" s="22">
        <f t="shared" si="17"/>
        <v>258.06451612903226</v>
      </c>
      <c r="F359" s="22">
        <f t="shared" si="17"/>
        <v>566.66666666666663</v>
      </c>
      <c r="G359" s="22">
        <f t="shared" si="17"/>
        <v>967.74193548387098</v>
      </c>
      <c r="H359" s="22">
        <f t="shared" si="17"/>
        <v>1032.258064516129</v>
      </c>
      <c r="I359" s="22">
        <f t="shared" si="17"/>
        <v>965.51724137931035</v>
      </c>
      <c r="J359" s="22">
        <f t="shared" si="17"/>
        <v>645.16129032258061</v>
      </c>
      <c r="K359" s="22">
        <f t="shared" si="17"/>
        <v>333.33333333333331</v>
      </c>
      <c r="L359" s="22">
        <f t="shared" si="17"/>
        <v>161.29032258064515</v>
      </c>
      <c r="M359" s="22">
        <f t="shared" si="17"/>
        <v>100</v>
      </c>
      <c r="N359" s="22"/>
    </row>
    <row r="360" spans="1:14">
      <c r="A360" s="1" t="s">
        <v>101</v>
      </c>
      <c r="B360" s="22">
        <f>B281/B353</f>
        <v>7419.3548387096771</v>
      </c>
      <c r="C360" s="22">
        <f t="shared" ref="C360:M360" si="18">C281/C353</f>
        <v>7903.2258064516127</v>
      </c>
      <c r="D360" s="22">
        <f t="shared" si="18"/>
        <v>8666.6666666666661</v>
      </c>
      <c r="E360" s="22">
        <f t="shared" si="18"/>
        <v>8387.0967741935492</v>
      </c>
      <c r="F360" s="22">
        <f t="shared" si="18"/>
        <v>10333.333333333334</v>
      </c>
      <c r="G360" s="22">
        <f t="shared" si="18"/>
        <v>12580.645161290322</v>
      </c>
      <c r="H360" s="22">
        <f t="shared" si="18"/>
        <v>13225.806451612903</v>
      </c>
      <c r="I360" s="22">
        <f t="shared" si="18"/>
        <v>11379.310344827587</v>
      </c>
      <c r="J360" s="22">
        <f t="shared" si="18"/>
        <v>9677.4193548387102</v>
      </c>
      <c r="K360" s="22">
        <f t="shared" si="18"/>
        <v>9666.6666666666661</v>
      </c>
      <c r="L360" s="22">
        <f t="shared" si="18"/>
        <v>7419.3548387096771</v>
      </c>
      <c r="M360" s="22">
        <f t="shared" si="18"/>
        <v>8000</v>
      </c>
      <c r="N360" s="22"/>
    </row>
    <row r="361" spans="1:14">
      <c r="A361" s="1" t="s">
        <v>0</v>
      </c>
      <c r="B361" s="22">
        <f t="shared" ref="B361:M361" si="19">SUM(B355:B360)</f>
        <v>16078.677419354837</v>
      </c>
      <c r="C361" s="22">
        <f t="shared" si="19"/>
        <v>16536.741935483871</v>
      </c>
      <c r="D361" s="22">
        <f t="shared" si="19"/>
        <v>19026.243333333332</v>
      </c>
      <c r="E361" s="22">
        <f t="shared" si="19"/>
        <v>30152.038709677421</v>
      </c>
      <c r="F361" s="22">
        <f t="shared" si="19"/>
        <v>48435.469999999994</v>
      </c>
      <c r="G361" s="22">
        <f t="shared" si="19"/>
        <v>69366.008064516122</v>
      </c>
      <c r="H361" s="22">
        <f t="shared" si="19"/>
        <v>75846.993548387094</v>
      </c>
      <c r="I361" s="22">
        <f t="shared" si="19"/>
        <v>67803.544827586215</v>
      </c>
      <c r="J361" s="22">
        <f t="shared" si="19"/>
        <v>51553.379032258068</v>
      </c>
      <c r="K361" s="22">
        <f t="shared" si="19"/>
        <v>34297.399999999994</v>
      </c>
      <c r="L361" s="22">
        <f t="shared" si="19"/>
        <v>20842.79677419355</v>
      </c>
      <c r="M361" s="22">
        <f t="shared" si="19"/>
        <v>16996.674999999999</v>
      </c>
      <c r="N361" s="22"/>
    </row>
    <row r="362" spans="1:14">
      <c r="A362" s="1" t="s">
        <v>155</v>
      </c>
      <c r="B362" s="22">
        <f>SUM(B355:B358)</f>
        <v>8569</v>
      </c>
      <c r="C362" s="22">
        <f t="shared" ref="C362:M362" si="20">SUM(C355:C358)</f>
        <v>8569</v>
      </c>
      <c r="D362" s="22">
        <f t="shared" si="20"/>
        <v>10272.910000000002</v>
      </c>
      <c r="E362" s="22">
        <f t="shared" si="20"/>
        <v>21506.877419354838</v>
      </c>
      <c r="F362" s="22">
        <f t="shared" si="20"/>
        <v>37535.469999999994</v>
      </c>
      <c r="G362" s="22">
        <f t="shared" si="20"/>
        <v>55817.620967741932</v>
      </c>
      <c r="H362" s="22">
        <f t="shared" si="20"/>
        <v>61588.929032258064</v>
      </c>
      <c r="I362" s="22">
        <f t="shared" si="20"/>
        <v>55458.717241379309</v>
      </c>
      <c r="J362" s="22">
        <f t="shared" si="20"/>
        <v>41230.798387096773</v>
      </c>
      <c r="K362" s="22">
        <f t="shared" si="20"/>
        <v>24297.399999999998</v>
      </c>
      <c r="L362" s="22">
        <f t="shared" si="20"/>
        <v>13262.151612903226</v>
      </c>
      <c r="M362" s="22">
        <f t="shared" si="20"/>
        <v>8896.6749999999993</v>
      </c>
      <c r="N362" s="22"/>
    </row>
    <row r="363" spans="1:14">
      <c r="A363" s="1" t="s">
        <v>316</v>
      </c>
      <c r="B363" s="22">
        <f>SUM(B359:B360)</f>
        <v>7509.6774193548381</v>
      </c>
      <c r="C363" s="22">
        <f t="shared" ref="C363:M363" si="21">SUM(C359:C360)</f>
        <v>7967.7419354838712</v>
      </c>
      <c r="D363" s="22">
        <f t="shared" si="21"/>
        <v>8753.3333333333321</v>
      </c>
      <c r="E363" s="22">
        <f t="shared" si="21"/>
        <v>8645.1612903225814</v>
      </c>
      <c r="F363" s="22">
        <f t="shared" si="21"/>
        <v>10900</v>
      </c>
      <c r="G363" s="22">
        <f t="shared" si="21"/>
        <v>13548.387096774193</v>
      </c>
      <c r="H363" s="22">
        <f t="shared" si="21"/>
        <v>14258.064516129032</v>
      </c>
      <c r="I363" s="22">
        <f t="shared" si="21"/>
        <v>12344.827586206897</v>
      </c>
      <c r="J363" s="22">
        <f t="shared" si="21"/>
        <v>10322.580645161292</v>
      </c>
      <c r="K363" s="22">
        <f t="shared" si="21"/>
        <v>10000</v>
      </c>
      <c r="L363" s="22">
        <f t="shared" si="21"/>
        <v>7580.645161290322</v>
      </c>
      <c r="M363" s="22">
        <f t="shared" si="21"/>
        <v>8100</v>
      </c>
      <c r="N363" s="22"/>
    </row>
    <row r="364" spans="1:14">
      <c r="B364" s="124"/>
      <c r="C364" s="124"/>
      <c r="D364" s="124"/>
      <c r="E364" s="124"/>
      <c r="F364" s="124"/>
      <c r="G364" s="124"/>
      <c r="H364" s="124"/>
      <c r="I364" s="124"/>
      <c r="J364" s="124"/>
      <c r="K364" s="124"/>
      <c r="L364" s="124"/>
      <c r="M364" s="124"/>
      <c r="N364" s="124"/>
    </row>
    <row r="365" spans="1:14">
      <c r="A365" s="1" t="s">
        <v>717</v>
      </c>
      <c r="B365" s="22">
        <v>23000</v>
      </c>
      <c r="C365" s="22">
        <v>23000</v>
      </c>
      <c r="D365" s="22">
        <v>23000</v>
      </c>
      <c r="E365" s="22">
        <v>23000</v>
      </c>
      <c r="F365" s="22">
        <v>23000</v>
      </c>
      <c r="G365" s="22">
        <v>23000</v>
      </c>
      <c r="H365" s="22">
        <v>23000</v>
      </c>
      <c r="I365" s="22">
        <v>23000</v>
      </c>
      <c r="J365" s="22">
        <v>23000</v>
      </c>
      <c r="K365" s="22">
        <v>23000</v>
      </c>
      <c r="L365" s="22">
        <v>23000</v>
      </c>
      <c r="M365" s="22">
        <v>23000</v>
      </c>
      <c r="N365" s="124"/>
    </row>
    <row r="366" spans="1:14">
      <c r="A366" s="1" t="s">
        <v>718</v>
      </c>
      <c r="B366" s="22">
        <v>10000</v>
      </c>
      <c r="C366" s="22">
        <v>10000</v>
      </c>
      <c r="D366" s="22">
        <v>10000</v>
      </c>
      <c r="E366" s="22">
        <v>10000</v>
      </c>
      <c r="F366" s="22">
        <v>10000</v>
      </c>
      <c r="G366" s="22">
        <v>10000</v>
      </c>
      <c r="H366" s="22">
        <v>10000</v>
      </c>
      <c r="I366" s="22">
        <v>10000</v>
      </c>
      <c r="J366" s="22">
        <v>10000</v>
      </c>
      <c r="K366" s="22">
        <v>10000</v>
      </c>
      <c r="L366" s="22">
        <v>10000</v>
      </c>
      <c r="M366" s="22">
        <v>10000</v>
      </c>
      <c r="N366" s="124">
        <f>M367/M365</f>
        <v>0.32608695652173914</v>
      </c>
    </row>
    <row r="367" spans="1:14">
      <c r="A367" s="1" t="s">
        <v>719</v>
      </c>
      <c r="B367" s="22">
        <v>7500</v>
      </c>
      <c r="C367" s="22">
        <v>7500</v>
      </c>
      <c r="D367" s="22">
        <v>7500</v>
      </c>
      <c r="E367" s="22">
        <v>7500</v>
      </c>
      <c r="F367" s="22">
        <v>7500</v>
      </c>
      <c r="G367" s="22">
        <v>7500</v>
      </c>
      <c r="H367" s="22">
        <v>7500</v>
      </c>
      <c r="I367" s="22">
        <v>7500</v>
      </c>
      <c r="J367" s="22">
        <v>7500</v>
      </c>
      <c r="K367" s="22">
        <v>7500</v>
      </c>
      <c r="L367" s="22">
        <v>7500</v>
      </c>
      <c r="M367" s="22">
        <v>7500</v>
      </c>
    </row>
    <row r="368" spans="1:14">
      <c r="A368" s="1" t="s">
        <v>720</v>
      </c>
      <c r="B368" s="22">
        <f>B365-B366-B367</f>
        <v>5500</v>
      </c>
      <c r="C368" s="22">
        <f t="shared" ref="C368:M368" si="22">C365-C366-C367</f>
        <v>5500</v>
      </c>
      <c r="D368" s="22">
        <f t="shared" si="22"/>
        <v>5500</v>
      </c>
      <c r="E368" s="22">
        <f t="shared" si="22"/>
        <v>5500</v>
      </c>
      <c r="F368" s="22">
        <f t="shared" si="22"/>
        <v>5500</v>
      </c>
      <c r="G368" s="22">
        <f t="shared" si="22"/>
        <v>5500</v>
      </c>
      <c r="H368" s="22">
        <f t="shared" si="22"/>
        <v>5500</v>
      </c>
      <c r="I368" s="22">
        <f t="shared" si="22"/>
        <v>5500</v>
      </c>
      <c r="J368" s="22">
        <f t="shared" si="22"/>
        <v>5500</v>
      </c>
      <c r="K368" s="22">
        <f t="shared" si="22"/>
        <v>5500</v>
      </c>
      <c r="L368" s="22">
        <f t="shared" si="22"/>
        <v>5500</v>
      </c>
      <c r="M368" s="22">
        <f t="shared" si="22"/>
        <v>5500</v>
      </c>
    </row>
  </sheetData>
  <phoneticPr fontId="10" type="noConversion"/>
  <printOptions horizontalCentered="1" verticalCentered="1"/>
  <pageMargins left="0.75" right="0.75" top="1" bottom="1" header="0.5" footer="0.5"/>
  <pageSetup scale="61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2"/>
  <dimension ref="A1:BB184"/>
  <sheetViews>
    <sheetView topLeftCell="AN97" zoomScale="50" workbookViewId="0">
      <selection activeCell="AO138" sqref="AO138:AP149"/>
    </sheetView>
  </sheetViews>
  <sheetFormatPr defaultRowHeight="20.25"/>
  <cols>
    <col min="1" max="1" width="10.5546875" style="10" bestFit="1" customWidth="1"/>
    <col min="2" max="2" width="8.88671875" style="10"/>
    <col min="3" max="3" width="15" style="10" bestFit="1" customWidth="1"/>
    <col min="4" max="4" width="15.6640625" style="10" bestFit="1" customWidth="1"/>
    <col min="5" max="5" width="9.44140625" style="358" bestFit="1" customWidth="1"/>
    <col min="6" max="6" width="94.77734375" style="10" bestFit="1" customWidth="1"/>
    <col min="7" max="7" width="20.33203125" style="1" bestFit="1" customWidth="1"/>
    <col min="8" max="9" width="18.109375" style="1" bestFit="1" customWidth="1"/>
    <col min="10" max="10" width="18.21875" style="1" bestFit="1" customWidth="1"/>
    <col min="11" max="13" width="18.109375" style="1" bestFit="1" customWidth="1"/>
    <col min="14" max="16" width="17.21875" style="1" bestFit="1" customWidth="1"/>
    <col min="17" max="17" width="17.21875" style="1" customWidth="1"/>
    <col min="18" max="18" width="17.21875" style="1" bestFit="1" customWidth="1"/>
    <col min="19" max="19" width="17.88671875" style="37" bestFit="1" customWidth="1"/>
    <col min="20" max="20" width="18.77734375" style="1" bestFit="1" customWidth="1"/>
    <col min="21" max="21" width="17" style="1" bestFit="1" customWidth="1"/>
    <col min="22" max="22" width="9.21875" style="1" bestFit="1" customWidth="1"/>
    <col min="23" max="23" width="94.77734375" style="10" bestFit="1" customWidth="1"/>
    <col min="24" max="35" width="16.109375" style="1" bestFit="1" customWidth="1"/>
    <col min="36" max="36" width="17.44140625" style="1" bestFit="1" customWidth="1"/>
    <col min="37" max="37" width="21.6640625" style="1" bestFit="1" customWidth="1"/>
    <col min="38" max="38" width="7.44140625" style="1" bestFit="1" customWidth="1"/>
    <col min="39" max="39" width="9.21875" style="1" bestFit="1" customWidth="1"/>
    <col min="40" max="40" width="94.77734375" style="10" bestFit="1" customWidth="1"/>
    <col min="41" max="48" width="17.21875" style="1" bestFit="1" customWidth="1"/>
    <col min="49" max="49" width="16.77734375" style="1" customWidth="1"/>
    <col min="50" max="51" width="15.88671875" style="1" bestFit="1" customWidth="1"/>
    <col min="52" max="52" width="16.44140625" style="1" bestFit="1" customWidth="1"/>
    <col min="53" max="53" width="17.44140625" style="1" bestFit="1" customWidth="1"/>
    <col min="54" max="54" width="10.5546875" style="1" bestFit="1" customWidth="1"/>
    <col min="55" max="16384" width="8.88671875" style="1"/>
  </cols>
  <sheetData>
    <row r="1" spans="5:53" s="10" customFormat="1">
      <c r="E1" s="358"/>
      <c r="F1" s="10" t="s">
        <v>85</v>
      </c>
      <c r="G1" s="10">
        <v>31</v>
      </c>
      <c r="H1" s="10">
        <v>31</v>
      </c>
      <c r="I1" s="10">
        <v>30</v>
      </c>
      <c r="J1" s="10">
        <v>31</v>
      </c>
      <c r="K1" s="10">
        <v>30</v>
      </c>
      <c r="L1" s="10">
        <v>31</v>
      </c>
      <c r="M1" s="10">
        <v>31</v>
      </c>
      <c r="N1" s="10">
        <v>29</v>
      </c>
      <c r="O1" s="10">
        <v>31</v>
      </c>
      <c r="P1" s="10">
        <v>30</v>
      </c>
      <c r="Q1" s="10">
        <v>31</v>
      </c>
      <c r="R1" s="10">
        <v>30</v>
      </c>
      <c r="S1" s="107">
        <f>SUM(G1:R1)</f>
        <v>366</v>
      </c>
      <c r="W1" s="10" t="s">
        <v>85</v>
      </c>
      <c r="X1" s="10">
        <v>31</v>
      </c>
      <c r="Y1" s="10">
        <v>31</v>
      </c>
      <c r="Z1" s="10">
        <v>30</v>
      </c>
      <c r="AA1" s="10">
        <v>31</v>
      </c>
      <c r="AB1" s="10">
        <v>30</v>
      </c>
      <c r="AC1" s="10">
        <v>31</v>
      </c>
      <c r="AD1" s="10">
        <v>31</v>
      </c>
      <c r="AE1" s="10">
        <v>28</v>
      </c>
      <c r="AF1" s="10">
        <v>31</v>
      </c>
      <c r="AG1" s="10">
        <v>30</v>
      </c>
      <c r="AH1" s="10">
        <v>31</v>
      </c>
      <c r="AI1" s="10">
        <v>30</v>
      </c>
      <c r="AJ1" s="108">
        <f>SUM(X1:AI1)</f>
        <v>365</v>
      </c>
      <c r="AN1" s="10" t="s">
        <v>85</v>
      </c>
      <c r="AO1" s="10">
        <v>31</v>
      </c>
      <c r="AP1" s="10">
        <v>31</v>
      </c>
      <c r="AQ1" s="10">
        <v>30</v>
      </c>
      <c r="AR1" s="10">
        <v>31</v>
      </c>
      <c r="AS1" s="10">
        <v>30</v>
      </c>
      <c r="AT1" s="10">
        <v>31</v>
      </c>
      <c r="AU1" s="10">
        <v>31</v>
      </c>
      <c r="AV1" s="10">
        <v>28</v>
      </c>
      <c r="AW1" s="10">
        <v>31</v>
      </c>
      <c r="AX1" s="10">
        <v>30</v>
      </c>
      <c r="AY1" s="10">
        <v>31</v>
      </c>
      <c r="AZ1" s="10">
        <v>30</v>
      </c>
      <c r="BA1" s="108">
        <f>SUM(AO1:AZ1)</f>
        <v>365</v>
      </c>
    </row>
    <row r="2" spans="5:53" s="46" customFormat="1">
      <c r="E2" s="358"/>
      <c r="F2" s="11" t="s">
        <v>164</v>
      </c>
      <c r="G2" s="141">
        <v>40725</v>
      </c>
      <c r="H2" s="141">
        <v>40756</v>
      </c>
      <c r="I2" s="141">
        <v>40787</v>
      </c>
      <c r="J2" s="141">
        <v>40817</v>
      </c>
      <c r="K2" s="141">
        <v>40848</v>
      </c>
      <c r="L2" s="141">
        <v>40878</v>
      </c>
      <c r="M2" s="141">
        <v>40909</v>
      </c>
      <c r="N2" s="141">
        <v>40940</v>
      </c>
      <c r="O2" s="141">
        <v>40969</v>
      </c>
      <c r="P2" s="141">
        <v>41000</v>
      </c>
      <c r="Q2" s="141">
        <v>41030</v>
      </c>
      <c r="R2" s="141">
        <v>41061</v>
      </c>
      <c r="S2" s="14" t="s">
        <v>857</v>
      </c>
      <c r="U2" s="28"/>
      <c r="W2" s="11" t="s">
        <v>164</v>
      </c>
      <c r="X2" s="141">
        <v>41091</v>
      </c>
      <c r="Y2" s="141">
        <v>41122</v>
      </c>
      <c r="Z2" s="141">
        <v>41153</v>
      </c>
      <c r="AA2" s="141">
        <v>41183</v>
      </c>
      <c r="AB2" s="141">
        <v>41214</v>
      </c>
      <c r="AC2" s="141">
        <v>41244</v>
      </c>
      <c r="AD2" s="141">
        <v>41275</v>
      </c>
      <c r="AE2" s="141">
        <v>41306</v>
      </c>
      <c r="AF2" s="141">
        <v>41334</v>
      </c>
      <c r="AG2" s="141">
        <v>41365</v>
      </c>
      <c r="AH2" s="141">
        <v>41395</v>
      </c>
      <c r="AI2" s="141">
        <v>41426</v>
      </c>
      <c r="AJ2" s="142" t="s">
        <v>878</v>
      </c>
      <c r="AK2" s="141"/>
      <c r="AL2" s="141"/>
      <c r="AM2" s="141"/>
      <c r="AN2" s="11" t="s">
        <v>164</v>
      </c>
      <c r="AO2" s="141">
        <v>41456</v>
      </c>
      <c r="AP2" s="141">
        <v>41487</v>
      </c>
      <c r="AQ2" s="141">
        <v>41518</v>
      </c>
      <c r="AR2" s="141">
        <v>41548</v>
      </c>
      <c r="AS2" s="141">
        <v>41579</v>
      </c>
      <c r="AT2" s="141">
        <v>41609</v>
      </c>
      <c r="AU2" s="141">
        <v>41640</v>
      </c>
      <c r="AV2" s="141">
        <v>41671</v>
      </c>
      <c r="AW2" s="141">
        <v>41699</v>
      </c>
      <c r="AX2" s="141">
        <v>41730</v>
      </c>
      <c r="AY2" s="141">
        <v>41760</v>
      </c>
      <c r="AZ2" s="141">
        <v>41791</v>
      </c>
      <c r="BA2" s="142" t="s">
        <v>906</v>
      </c>
    </row>
    <row r="3" spans="5:53" s="22" customFormat="1">
      <c r="E3" s="358"/>
      <c r="F3" s="156" t="s">
        <v>399</v>
      </c>
      <c r="G3" s="22">
        <f>+MCFS!D13</f>
        <v>306110.31578947371</v>
      </c>
      <c r="H3" s="22">
        <f>+MCFS!E13</f>
        <v>306110.31578947371</v>
      </c>
      <c r="I3" s="22">
        <f>+MCFS!F13</f>
        <v>355141.04376731307</v>
      </c>
      <c r="J3" s="22">
        <f>+MCFS!G13</f>
        <v>768290.00332409982</v>
      </c>
      <c r="K3" s="22">
        <f>+MCFS!H13</f>
        <v>1297625.1124653742</v>
      </c>
      <c r="L3" s="22">
        <f>+MCFS!I13</f>
        <v>1993972.4099722996</v>
      </c>
      <c r="M3" s="22">
        <f>+MCFS!J13</f>
        <v>2200140.8000000003</v>
      </c>
      <c r="N3" s="22">
        <f>+MCFS!K13</f>
        <v>1853335.0825484768</v>
      </c>
      <c r="O3" s="22">
        <f>+MCFS!L13</f>
        <v>1472887.4681440445</v>
      </c>
      <c r="P3" s="22">
        <f>+MCFS!M13</f>
        <v>839976.5983379503</v>
      </c>
      <c r="Q3" s="22">
        <f>+MCFS!N13</f>
        <v>473763.73185595579</v>
      </c>
      <c r="R3" s="22">
        <f>+MCFS!O13</f>
        <v>307563.72299168975</v>
      </c>
      <c r="S3" s="131">
        <f>+MCFS!P13</f>
        <v>12174916.60498615</v>
      </c>
      <c r="T3" s="22">
        <f>S3-'[5]FT GAS'!$AJ$3</f>
        <v>-649014.24358044378</v>
      </c>
      <c r="U3" s="185"/>
      <c r="W3" s="156" t="s">
        <v>399</v>
      </c>
      <c r="X3" s="22">
        <f>+MCFS!T13</f>
        <v>309861.22991689754</v>
      </c>
      <c r="Y3" s="22">
        <f>+MCFS!U13</f>
        <v>309861.22991689754</v>
      </c>
      <c r="Z3" s="22">
        <f>+MCFS!V13</f>
        <v>359458.57063711912</v>
      </c>
      <c r="AA3" s="22">
        <f>+MCFS!W13</f>
        <v>777436.01108033268</v>
      </c>
      <c r="AB3" s="22">
        <f>+MCFS!X13</f>
        <v>1312944.398891967</v>
      </c>
      <c r="AC3" s="22">
        <f>+MCFS!Y13</f>
        <v>2017425.9944598339</v>
      </c>
      <c r="AD3" s="22">
        <f>+MCFS!Z13</f>
        <v>2226001.0193905816</v>
      </c>
      <c r="AE3" s="22">
        <f>+MCFS!AA13</f>
        <v>1826997.0969529089</v>
      </c>
      <c r="AF3" s="22">
        <f>+MCFS!AB13</f>
        <v>1490258.3490304714</v>
      </c>
      <c r="AG3" s="22">
        <f>+MCFS!AC13</f>
        <v>849953.68421052652</v>
      </c>
      <c r="AH3" s="22">
        <f>+MCFS!AD13</f>
        <v>479471.68975069257</v>
      </c>
      <c r="AI3" s="22">
        <f>+MCFS!AE13</f>
        <v>311325.87257617735</v>
      </c>
      <c r="AJ3" s="59">
        <f>+MCFS!AF13</f>
        <v>12270995.146814406</v>
      </c>
      <c r="AN3" s="156" t="s">
        <v>399</v>
      </c>
      <c r="AO3" s="22">
        <f>+MCFS!AJ13</f>
        <v>314290.88088642666</v>
      </c>
      <c r="AP3" s="22">
        <f>+MCFS!AK13</f>
        <v>314290.88088642666</v>
      </c>
      <c r="AQ3" s="22">
        <f>+MCFS!AL13</f>
        <v>364585.74182825483</v>
      </c>
      <c r="AR3" s="22">
        <f>+MCFS!AM13</f>
        <v>788459.66537396132</v>
      </c>
      <c r="AS3" s="22">
        <f>+MCFS!AN13</f>
        <v>1331518.165096953</v>
      </c>
      <c r="AT3" s="22">
        <f>+MCFS!AO13</f>
        <v>2045936.6869806098</v>
      </c>
      <c r="AU3" s="22">
        <f>+MCFS!AP13</f>
        <v>2257453.1545706377</v>
      </c>
      <c r="AV3" s="22">
        <f>+MCFS!AQ13</f>
        <v>1852816.4653739615</v>
      </c>
      <c r="AW3" s="22">
        <f>+MCFS!AR13</f>
        <v>1511334.6260387814</v>
      </c>
      <c r="AX3" s="22">
        <f>+MCFS!AS13</f>
        <v>861998.09418282565</v>
      </c>
      <c r="AY3" s="22">
        <f>+MCFS!AT13</f>
        <v>486293.28310249309</v>
      </c>
      <c r="AZ3" s="22">
        <f>+MCFS!AU13</f>
        <v>315774.24930747924</v>
      </c>
      <c r="BA3" s="59">
        <f>+MCFS!AV13</f>
        <v>12444751.893628813</v>
      </c>
    </row>
    <row r="4" spans="5:53" s="22" customFormat="1">
      <c r="E4" s="358"/>
      <c r="F4" s="156" t="s">
        <v>400</v>
      </c>
      <c r="G4" s="22">
        <f>+MCFS!D14</f>
        <v>306110.31578947371</v>
      </c>
      <c r="H4" s="22">
        <f>+MCFS!E14</f>
        <v>612220.63157894742</v>
      </c>
      <c r="I4" s="22">
        <f>+MCFS!F14</f>
        <v>967361.67534626042</v>
      </c>
      <c r="J4" s="22">
        <f>+MCFS!G14</f>
        <v>1735651.6786703602</v>
      </c>
      <c r="K4" s="22">
        <f>+MCFS!H14</f>
        <v>3033276.7911357344</v>
      </c>
      <c r="L4" s="22">
        <f>+MCFS!I14</f>
        <v>5027249.2011080338</v>
      </c>
      <c r="M4" s="22">
        <f>+MCFS!J14</f>
        <v>7227390.0011080336</v>
      </c>
      <c r="N4" s="22">
        <f>+MCFS!K14</f>
        <v>9080725.0836565103</v>
      </c>
      <c r="O4" s="22">
        <f>+MCFS!L14</f>
        <v>10553612.551800555</v>
      </c>
      <c r="P4" s="22">
        <f>+MCFS!M14</f>
        <v>11393589.150138505</v>
      </c>
      <c r="Q4" s="22">
        <f>+MCFS!N14</f>
        <v>11867352.88199446</v>
      </c>
      <c r="R4" s="22">
        <f>+MCFS!O14</f>
        <v>12174916.60498615</v>
      </c>
      <c r="S4" s="131"/>
      <c r="W4" s="156" t="s">
        <v>400</v>
      </c>
      <c r="X4" s="22">
        <f>+MCFS!T14</f>
        <v>309861.22991689754</v>
      </c>
      <c r="Y4" s="22">
        <f>+MCFS!U14</f>
        <v>309861.22991689754</v>
      </c>
      <c r="Z4" s="22">
        <f>+MCFS!V14</f>
        <v>359458.57063711912</v>
      </c>
      <c r="AA4" s="22">
        <f>+MCFS!W14</f>
        <v>777436.01108033268</v>
      </c>
      <c r="AB4" s="22">
        <f>+MCFS!X14</f>
        <v>1312944.398891967</v>
      </c>
      <c r="AC4" s="22">
        <f>+MCFS!Y14</f>
        <v>2017425.9944598339</v>
      </c>
      <c r="AD4" s="22">
        <f>+MCFS!Z14</f>
        <v>2226001.0193905816</v>
      </c>
      <c r="AE4" s="22">
        <f>+MCFS!AA14</f>
        <v>1826997.0969529089</v>
      </c>
      <c r="AF4" s="22">
        <f>+MCFS!AB14</f>
        <v>1490258.3490304714</v>
      </c>
      <c r="AG4" s="22">
        <f>+MCFS!AC14</f>
        <v>849953.68421052652</v>
      </c>
      <c r="AH4" s="22">
        <f>+MCFS!AD14</f>
        <v>479471.68975069257</v>
      </c>
      <c r="AI4" s="22">
        <f>+MCFS!AE14</f>
        <v>311325.87257617735</v>
      </c>
      <c r="AJ4" s="22">
        <f>+MCFS!AF14</f>
        <v>0</v>
      </c>
      <c r="AN4" s="156" t="s">
        <v>400</v>
      </c>
      <c r="AO4" s="22">
        <f>+MCFS!AJ14</f>
        <v>314290.88088642666</v>
      </c>
      <c r="AP4" s="22">
        <f>+MCFS!AK14</f>
        <v>314290.88088642666</v>
      </c>
      <c r="AQ4" s="22">
        <f>+MCFS!AL14</f>
        <v>364585.74182825483</v>
      </c>
      <c r="AR4" s="22">
        <f>+MCFS!AM14</f>
        <v>788459.66537396132</v>
      </c>
      <c r="AS4" s="22">
        <f>+MCFS!AN14</f>
        <v>1331518.165096953</v>
      </c>
      <c r="AT4" s="22">
        <f>+MCFS!AO14</f>
        <v>2045936.6869806098</v>
      </c>
      <c r="AU4" s="22">
        <f>+MCFS!AP14</f>
        <v>2257453.1545706377</v>
      </c>
      <c r="AV4" s="22">
        <f>+MCFS!AQ14</f>
        <v>1852816.4653739615</v>
      </c>
      <c r="AW4" s="22">
        <f>+MCFS!AR14</f>
        <v>1511334.6260387814</v>
      </c>
      <c r="AX4" s="22">
        <f>+MCFS!AS14</f>
        <v>861998.09418282565</v>
      </c>
      <c r="AY4" s="22">
        <f>+MCFS!AT14</f>
        <v>486293.28310249309</v>
      </c>
      <c r="AZ4" s="22">
        <f>+MCFS!AU14</f>
        <v>315774.24930747924</v>
      </c>
      <c r="BA4" s="22">
        <f>+MCFS!AV14</f>
        <v>0</v>
      </c>
    </row>
    <row r="5" spans="5:53" s="22" customFormat="1">
      <c r="E5" s="358"/>
      <c r="F5" s="156" t="s">
        <v>401</v>
      </c>
      <c r="G5" s="22">
        <f>+MCFS!D15</f>
        <v>251508.77192982458</v>
      </c>
      <c r="H5" s="22">
        <f>+MCFS!E15</f>
        <v>261838.59649122809</v>
      </c>
      <c r="I5" s="22">
        <f>+MCFS!F15</f>
        <v>279354.3859649123</v>
      </c>
      <c r="J5" s="22">
        <f>+MCFS!G15</f>
        <v>302259.64912280708</v>
      </c>
      <c r="K5" s="22">
        <f>+MCFS!H15</f>
        <v>368505.26315789478</v>
      </c>
      <c r="L5" s="22">
        <f>+MCFS!I15</f>
        <v>472926.31578947371</v>
      </c>
      <c r="M5" s="22">
        <f>+MCFS!J15</f>
        <v>497628.07017543865</v>
      </c>
      <c r="N5" s="22">
        <f>+MCFS!K15</f>
        <v>403312.28070175444</v>
      </c>
      <c r="O5" s="22">
        <f>+MCFS!L15</f>
        <v>360645.6140350877</v>
      </c>
      <c r="P5" s="22">
        <f>+MCFS!M15</f>
        <v>338189.47368421056</v>
      </c>
      <c r="Q5" s="22">
        <f>+MCFS!N15</f>
        <v>265207.01754385966</v>
      </c>
      <c r="R5" s="22">
        <f>+MCFS!O15</f>
        <v>274189.47368421056</v>
      </c>
      <c r="S5" s="131">
        <f>+MCFS!P15</f>
        <v>4075564.912280702</v>
      </c>
      <c r="T5" s="22">
        <f>S5-'[5]FT GAS'!$AJ$5</f>
        <v>207382.45614035055</v>
      </c>
      <c r="W5" s="156" t="s">
        <v>401</v>
      </c>
      <c r="X5" s="22">
        <f>+MCFS!T15</f>
        <v>252564.21052631582</v>
      </c>
      <c r="Y5" s="22">
        <f>+MCFS!U15</f>
        <v>268620.35087719298</v>
      </c>
      <c r="Z5" s="22">
        <f>+MCFS!V15</f>
        <v>285799.2982456141</v>
      </c>
      <c r="AA5" s="22">
        <f>+MCFS!W15</f>
        <v>313195.78947368427</v>
      </c>
      <c r="AB5" s="22">
        <f>+MCFS!X15</f>
        <v>377757.19298245618</v>
      </c>
      <c r="AC5" s="22">
        <f>+MCFS!Y15</f>
        <v>479932.63157894748</v>
      </c>
      <c r="AD5" s="22">
        <f>+MCFS!Z15</f>
        <v>504634.3859649123</v>
      </c>
      <c r="AE5" s="22">
        <f>+MCFS!AA15</f>
        <v>412564.21052631584</v>
      </c>
      <c r="AF5" s="22">
        <f>+MCFS!AB15</f>
        <v>369897.54385964916</v>
      </c>
      <c r="AG5" s="22">
        <f>+MCFS!AC15</f>
        <v>348564.21052631584</v>
      </c>
      <c r="AH5" s="22">
        <f>+MCFS!AD15</f>
        <v>275020.35087719298</v>
      </c>
      <c r="AI5" s="22">
        <f>+MCFS!AE15</f>
        <v>280072.98245614039</v>
      </c>
      <c r="AJ5" s="59">
        <f>+MCFS!AF15</f>
        <v>4168623.1578947371</v>
      </c>
      <c r="AN5" s="156" t="s">
        <v>401</v>
      </c>
      <c r="AO5" s="22">
        <f>+MCFS!AJ15</f>
        <v>265543.85964912287</v>
      </c>
      <c r="AP5" s="22">
        <f>+MCFS!AK15</f>
        <v>282385.96491228073</v>
      </c>
      <c r="AQ5" s="22">
        <f>+MCFS!AL15</f>
        <v>288785.96491228073</v>
      </c>
      <c r="AR5" s="22">
        <f>+MCFS!AM15</f>
        <v>327522.80701754388</v>
      </c>
      <c r="AS5" s="22">
        <f>+MCFS!AN15</f>
        <v>388715.78947368421</v>
      </c>
      <c r="AT5" s="22">
        <f>+MCFS!AO15</f>
        <v>499873.68421052635</v>
      </c>
      <c r="AU5" s="22">
        <f>+MCFS!AP15</f>
        <v>523452.63157894742</v>
      </c>
      <c r="AV5" s="22">
        <f>+MCFS!AQ15</f>
        <v>419031.57894736843</v>
      </c>
      <c r="AW5" s="22">
        <f>+MCFS!AR15</f>
        <v>379733.33333333337</v>
      </c>
      <c r="AX5" s="22">
        <f>+MCFS!AS15</f>
        <v>359522.80701754388</v>
      </c>
      <c r="AY5" s="22">
        <f>+MCFS!AT15</f>
        <v>289347.36842105264</v>
      </c>
      <c r="AZ5" s="22">
        <f>+MCFS!AU15</f>
        <v>288785.96491228073</v>
      </c>
      <c r="BA5" s="59">
        <f>+MCFS!AV15</f>
        <v>4312701.7543859649</v>
      </c>
    </row>
    <row r="6" spans="5:53" s="22" customFormat="1">
      <c r="E6" s="358"/>
      <c r="F6" s="156" t="s">
        <v>402</v>
      </c>
      <c r="G6" s="22">
        <f>+MCFS!D16</f>
        <v>251508.77192982458</v>
      </c>
      <c r="H6" s="22">
        <f>+MCFS!E16</f>
        <v>513347.3684210527</v>
      </c>
      <c r="I6" s="22">
        <f>+MCFS!F16</f>
        <v>792701.75438596494</v>
      </c>
      <c r="J6" s="22">
        <f>+MCFS!G16</f>
        <v>1094961.4035087721</v>
      </c>
      <c r="K6" s="22">
        <f>+MCFS!H16</f>
        <v>1463466.666666667</v>
      </c>
      <c r="L6" s="22">
        <f>+MCFS!I16</f>
        <v>1936392.9824561407</v>
      </c>
      <c r="M6" s="22">
        <f>+MCFS!J16</f>
        <v>2434021.0526315793</v>
      </c>
      <c r="N6" s="22">
        <f>+MCFS!K16</f>
        <v>2837333.333333334</v>
      </c>
      <c r="O6" s="22">
        <f>+MCFS!L16</f>
        <v>3197978.9473684216</v>
      </c>
      <c r="P6" s="22">
        <f>+MCFS!M16</f>
        <v>3536168.4210526319</v>
      </c>
      <c r="Q6" s="22">
        <f>+MCFS!N16</f>
        <v>3801375.4385964917</v>
      </c>
      <c r="R6" s="22">
        <f>+MCFS!O16</f>
        <v>4075564.912280702</v>
      </c>
      <c r="S6" s="131"/>
      <c r="W6" s="156" t="s">
        <v>402</v>
      </c>
      <c r="X6" s="22">
        <f>+MCFS!T16</f>
        <v>252564.21052631582</v>
      </c>
      <c r="Y6" s="22">
        <f>+MCFS!U16</f>
        <v>268620.35087719298</v>
      </c>
      <c r="Z6" s="22">
        <f>+MCFS!V16</f>
        <v>285799.2982456141</v>
      </c>
      <c r="AA6" s="22">
        <f>+MCFS!W16</f>
        <v>313195.78947368427</v>
      </c>
      <c r="AB6" s="22">
        <f>+MCFS!X16</f>
        <v>377757.19298245618</v>
      </c>
      <c r="AC6" s="22">
        <f>+MCFS!Y16</f>
        <v>479932.63157894748</v>
      </c>
      <c r="AD6" s="22">
        <f>+MCFS!Z16</f>
        <v>504634.3859649123</v>
      </c>
      <c r="AE6" s="22">
        <f>+MCFS!AA16</f>
        <v>412564.21052631584</v>
      </c>
      <c r="AF6" s="22">
        <f>+MCFS!AB16</f>
        <v>369897.54385964916</v>
      </c>
      <c r="AG6" s="22">
        <f>+MCFS!AC16</f>
        <v>348564.21052631584</v>
      </c>
      <c r="AH6" s="22">
        <f>+MCFS!AD16</f>
        <v>275020.35087719298</v>
      </c>
      <c r="AI6" s="22">
        <f>+MCFS!AE16</f>
        <v>280072.98245614039</v>
      </c>
      <c r="AJ6" s="22">
        <f>+MCFS!AF16</f>
        <v>0</v>
      </c>
      <c r="AN6" s="156" t="s">
        <v>402</v>
      </c>
      <c r="AO6" s="22">
        <f>+MCFS!AJ16</f>
        <v>265543.85964912287</v>
      </c>
      <c r="AP6" s="22">
        <f>+MCFS!AK16</f>
        <v>282385.96491228073</v>
      </c>
      <c r="AQ6" s="22">
        <f>+MCFS!AL16</f>
        <v>288785.96491228073</v>
      </c>
      <c r="AR6" s="22">
        <f>+MCFS!AM16</f>
        <v>327522.80701754388</v>
      </c>
      <c r="AS6" s="22">
        <f>+MCFS!AN16</f>
        <v>388715.78947368421</v>
      </c>
      <c r="AT6" s="22">
        <f>+MCFS!AO16</f>
        <v>499873.68421052635</v>
      </c>
      <c r="AU6" s="22">
        <f>+MCFS!AP16</f>
        <v>523452.63157894742</v>
      </c>
      <c r="AV6" s="22">
        <f>+MCFS!AQ16</f>
        <v>419031.57894736843</v>
      </c>
      <c r="AW6" s="22">
        <f>+MCFS!AR16</f>
        <v>379733.33333333337</v>
      </c>
      <c r="AX6" s="22">
        <f>+MCFS!AS16</f>
        <v>359522.80701754388</v>
      </c>
      <c r="AY6" s="22">
        <f>+MCFS!AT16</f>
        <v>289347.36842105264</v>
      </c>
      <c r="AZ6" s="22">
        <f>+MCFS!AU16</f>
        <v>288785.96491228073</v>
      </c>
      <c r="BA6" s="22">
        <f>+MCFS!AV16</f>
        <v>0</v>
      </c>
    </row>
    <row r="7" spans="5:53" s="22" customFormat="1">
      <c r="E7" s="358"/>
      <c r="F7" s="22" t="s">
        <v>412</v>
      </c>
      <c r="G7" s="143">
        <f>+MCFS!D17</f>
        <v>557619.08771929832</v>
      </c>
      <c r="H7" s="143">
        <f>+MCFS!E17</f>
        <v>567948.9122807018</v>
      </c>
      <c r="I7" s="143">
        <f>+MCFS!F17</f>
        <v>634495.42973222537</v>
      </c>
      <c r="J7" s="143">
        <f>+MCFS!G17</f>
        <v>1070549.652446907</v>
      </c>
      <c r="K7" s="28">
        <f>+MCFS!H17</f>
        <v>1666130.375623269</v>
      </c>
      <c r="L7" s="28">
        <f>+MCFS!I17</f>
        <v>2466898.7257617731</v>
      </c>
      <c r="M7" s="28">
        <f>+MCFS!J17</f>
        <v>2697768.8701754389</v>
      </c>
      <c r="N7" s="28">
        <f>+MCFS!K17</f>
        <v>2256647.3632502314</v>
      </c>
      <c r="O7" s="28">
        <f>+MCFS!L17</f>
        <v>1833533.0821791322</v>
      </c>
      <c r="P7" s="143">
        <f>+MCFS!M17</f>
        <v>1178166.072022161</v>
      </c>
      <c r="Q7" s="143">
        <f>+MCFS!N17</f>
        <v>738970.74939981545</v>
      </c>
      <c r="R7" s="143">
        <f>+MCFS!O17</f>
        <v>581753.19667590037</v>
      </c>
      <c r="S7" s="131">
        <f>+MCFS!P17</f>
        <v>16250481.517266855</v>
      </c>
      <c r="T7" s="22">
        <f>S7-'[5]FT GAS'!$AJ$7</f>
        <v>-441631.78744008951</v>
      </c>
      <c r="W7" s="22" t="s">
        <v>412</v>
      </c>
      <c r="X7" s="226">
        <f>+MCFS!T17</f>
        <v>562425.44044321333</v>
      </c>
      <c r="Y7" s="143">
        <f>+MCFS!U17</f>
        <v>578481.58079409052</v>
      </c>
      <c r="Z7" s="143">
        <f>+MCFS!V17</f>
        <v>645257.86888273316</v>
      </c>
      <c r="AA7" s="143">
        <f>+MCFS!W17</f>
        <v>1090631.8005540171</v>
      </c>
      <c r="AB7" s="131">
        <f>+MCFS!X17</f>
        <v>1690701.5918744232</v>
      </c>
      <c r="AC7" s="131">
        <f>+MCFS!Y17</f>
        <v>2497358.6260387814</v>
      </c>
      <c r="AD7" s="131">
        <f>+MCFS!Z17</f>
        <v>2730635.405355494</v>
      </c>
      <c r="AE7" s="131">
        <f>+MCFS!AA17</f>
        <v>2239561.3074792246</v>
      </c>
      <c r="AF7" s="131">
        <f>+MCFS!AB17</f>
        <v>1860155.8928901206</v>
      </c>
      <c r="AG7" s="143">
        <f>+MCFS!AC17</f>
        <v>1198517.8947368423</v>
      </c>
      <c r="AH7" s="143">
        <f>+MCFS!AD17</f>
        <v>754492.04062788561</v>
      </c>
      <c r="AI7" s="143">
        <f>+MCFS!AE17</f>
        <v>591398.85503231781</v>
      </c>
      <c r="AJ7" s="131">
        <f>+MCFS!AF17</f>
        <v>16439618.304709144</v>
      </c>
      <c r="AN7" s="22" t="s">
        <v>412</v>
      </c>
      <c r="AO7" s="143">
        <f>+MCFS!AJ17</f>
        <v>579834.74053554959</v>
      </c>
      <c r="AP7" s="143">
        <f>+MCFS!AK17</f>
        <v>596676.84579870733</v>
      </c>
      <c r="AQ7" s="143">
        <f>+MCFS!AL17</f>
        <v>653371.70674053556</v>
      </c>
      <c r="AR7" s="143">
        <f>+MCFS!AM17</f>
        <v>1115982.4723915053</v>
      </c>
      <c r="AS7" s="131">
        <f>+MCFS!AN17</f>
        <v>1720233.9545706373</v>
      </c>
      <c r="AT7" s="131">
        <f>+MCFS!AO17</f>
        <v>2545810.3711911361</v>
      </c>
      <c r="AU7" s="131">
        <f>+MCFS!AP17</f>
        <v>2780905.7861495852</v>
      </c>
      <c r="AV7" s="131">
        <f>+MCFS!AQ17</f>
        <v>2271848.0443213298</v>
      </c>
      <c r="AW7" s="131">
        <f>+MCFS!AR17</f>
        <v>1891067.9593721149</v>
      </c>
      <c r="AX7" s="143">
        <f>+MCFS!AS17</f>
        <v>1221520.9012003695</v>
      </c>
      <c r="AY7" s="143">
        <f>+MCFS!AT17</f>
        <v>775640.65152354573</v>
      </c>
      <c r="AZ7" s="143">
        <f>+MCFS!AU17</f>
        <v>604560.21421975992</v>
      </c>
      <c r="BA7" s="131">
        <f>+MCFS!AV17</f>
        <v>16757453.648014776</v>
      </c>
    </row>
    <row r="8" spans="5:53" s="22" customFormat="1">
      <c r="E8" s="358"/>
      <c r="F8" s="22" t="s">
        <v>413</v>
      </c>
      <c r="G8" s="22">
        <f>+MCFS!D18</f>
        <v>557619.08771929832</v>
      </c>
      <c r="H8" s="22">
        <f>+MCFS!E18</f>
        <v>1125568</v>
      </c>
      <c r="I8" s="22">
        <f>+MCFS!F18</f>
        <v>1760063.4297322254</v>
      </c>
      <c r="J8" s="22">
        <f>+MCFS!G18</f>
        <v>2830613.0821791324</v>
      </c>
      <c r="K8" s="22">
        <f>+MCFS!H18</f>
        <v>4496743.4578024019</v>
      </c>
      <c r="L8" s="22">
        <f>+MCFS!I18</f>
        <v>6963642.1835641749</v>
      </c>
      <c r="M8" s="22">
        <f>+MCFS!J18</f>
        <v>9661411.0537396148</v>
      </c>
      <c r="N8" s="22">
        <f>+MCFS!K18</f>
        <v>11918058.416989846</v>
      </c>
      <c r="O8" s="22">
        <f>+MCFS!L18</f>
        <v>13751591.499168979</v>
      </c>
      <c r="P8" s="22">
        <f>+MCFS!M18</f>
        <v>14929757.57119114</v>
      </c>
      <c r="Q8" s="22">
        <f>+MCFS!N18</f>
        <v>15668728.320590954</v>
      </c>
      <c r="R8" s="22">
        <f>+MCFS!O18</f>
        <v>16250481.517266855</v>
      </c>
      <c r="S8" s="131"/>
      <c r="W8" s="22" t="s">
        <v>413</v>
      </c>
      <c r="X8" s="22">
        <f>+MCFS!T18</f>
        <v>562425.44044321333</v>
      </c>
      <c r="Y8" s="22">
        <f>+MCFS!U18</f>
        <v>1140907.021237304</v>
      </c>
      <c r="Z8" s="22">
        <f>+MCFS!V18</f>
        <v>1786164.8901200371</v>
      </c>
      <c r="AA8" s="22">
        <f>+MCFS!W18</f>
        <v>2876796.6906740544</v>
      </c>
      <c r="AB8" s="22">
        <f>+MCFS!X18</f>
        <v>4567498.2825484779</v>
      </c>
      <c r="AC8" s="22">
        <f>+MCFS!Y18</f>
        <v>7064856.9085872592</v>
      </c>
      <c r="AD8" s="22">
        <f>+MCFS!Z18</f>
        <v>9795492.3139427528</v>
      </c>
      <c r="AE8" s="22">
        <f>+MCFS!AA18</f>
        <v>12035053.621421978</v>
      </c>
      <c r="AF8" s="22">
        <f>+MCFS!AB18</f>
        <v>13895209.514312098</v>
      </c>
      <c r="AG8" s="22">
        <f>+MCFS!AC18</f>
        <v>15093727.409048941</v>
      </c>
      <c r="AH8" s="22">
        <f>+MCFS!AD18</f>
        <v>15848219.449676827</v>
      </c>
      <c r="AI8" s="22">
        <f>+MCFS!AE18</f>
        <v>16439618.304709144</v>
      </c>
      <c r="AJ8" s="22">
        <f>+MCFS!AF18</f>
        <v>0</v>
      </c>
      <c r="AN8" s="22" t="s">
        <v>413</v>
      </c>
      <c r="AO8" s="22">
        <f>+MCFS!AJ18</f>
        <v>579834.74053554959</v>
      </c>
      <c r="AP8" s="22">
        <f>+MCFS!AK18</f>
        <v>1176511.5863342569</v>
      </c>
      <c r="AQ8" s="22">
        <f>+MCFS!AL18</f>
        <v>1829883.2930747925</v>
      </c>
      <c r="AR8" s="22">
        <f>+MCFS!AM18</f>
        <v>2945865.765466298</v>
      </c>
      <c r="AS8" s="22">
        <f>+MCFS!AN18</f>
        <v>4666099.7200369351</v>
      </c>
      <c r="AT8" s="22">
        <f>+MCFS!AO18</f>
        <v>7211910.0912280716</v>
      </c>
      <c r="AU8" s="22">
        <f>+MCFS!AP18</f>
        <v>9992815.8773776572</v>
      </c>
      <c r="AV8" s="22">
        <f>+MCFS!AQ18</f>
        <v>12264663.921698987</v>
      </c>
      <c r="AW8" s="22">
        <f>+MCFS!AR18</f>
        <v>14155731.881071102</v>
      </c>
      <c r="AX8" s="22">
        <f>+MCFS!AS18</f>
        <v>15377252.782271471</v>
      </c>
      <c r="AY8" s="22">
        <f>+MCFS!AT18</f>
        <v>16152893.433795016</v>
      </c>
      <c r="AZ8" s="22">
        <f>+MCFS!AU18</f>
        <v>16757453.648014776</v>
      </c>
      <c r="BA8" s="22">
        <f>+MCFS!AV18</f>
        <v>0</v>
      </c>
    </row>
    <row r="9" spans="5:53" s="22" customFormat="1">
      <c r="E9" s="358"/>
      <c r="G9" s="22">
        <f>G7-'[5]FT GAS'!X7</f>
        <v>520.10186466388404</v>
      </c>
      <c r="H9" s="22">
        <f>H7-'[5]FT GAS'!Y7</f>
        <v>22302.558005014784</v>
      </c>
      <c r="I9" s="22">
        <f>I7-'[5]FT GAS'!Z7</f>
        <v>57235.426090889378</v>
      </c>
      <c r="J9" s="22">
        <f>J7-'[5]FT GAS'!AA7</f>
        <v>-112640.82851627306</v>
      </c>
      <c r="K9" s="22">
        <f>K7-'[5]FT GAS'!AB7</f>
        <v>-90922.559245036449</v>
      </c>
      <c r="L9" s="22">
        <f>L7-'[5]FT GAS'!AC7</f>
        <v>-29007.666365605779</v>
      </c>
      <c r="M9" s="22">
        <f>M7-'[5]FT GAS'!AD7</f>
        <v>-106243.71319158003</v>
      </c>
      <c r="N9" s="22">
        <f>N7-'[5]FT GAS'!AE7</f>
        <v>-72024.445790687576</v>
      </c>
      <c r="O9" s="22">
        <f>O7-'[5]FT GAS'!AF7</f>
        <v>-71291.255471742945</v>
      </c>
      <c r="P9" s="22">
        <f>P7-'[5]FT GAS'!AG7</f>
        <v>-53022.185436677421</v>
      </c>
      <c r="Q9" s="22">
        <f>Q7-'[5]FT GAS'!AH7</f>
        <v>-31668.760251697502</v>
      </c>
      <c r="S9" s="131"/>
    </row>
    <row r="10" spans="5:53" s="22" customFormat="1" ht="50.1" customHeight="1">
      <c r="E10" s="358"/>
      <c r="F10" s="59" t="s">
        <v>394</v>
      </c>
      <c r="S10" s="131"/>
      <c r="W10" s="59" t="s">
        <v>394</v>
      </c>
      <c r="X10" s="28"/>
      <c r="Y10" s="28"/>
      <c r="Z10" s="307"/>
      <c r="AA10" s="28"/>
      <c r="AB10" s="28"/>
      <c r="AC10" s="28"/>
      <c r="AD10" s="28"/>
      <c r="AE10" s="28"/>
      <c r="AF10" s="334" t="s">
        <v>856</v>
      </c>
      <c r="AG10" s="28"/>
      <c r="AH10" s="308"/>
      <c r="AI10" s="28"/>
      <c r="AJ10" s="59"/>
      <c r="AN10" s="59" t="s">
        <v>394</v>
      </c>
      <c r="AO10" s="28"/>
      <c r="AP10" s="28"/>
      <c r="AQ10" s="28"/>
      <c r="AR10" s="28"/>
      <c r="AS10" s="28"/>
      <c r="AT10" s="28"/>
      <c r="AU10" s="28"/>
      <c r="AV10" s="28"/>
      <c r="AX10" s="28"/>
      <c r="AY10" s="28"/>
      <c r="AZ10" s="28"/>
    </row>
    <row r="11" spans="5:53" s="22" customFormat="1">
      <c r="E11" s="358"/>
      <c r="F11" s="22" t="s">
        <v>882</v>
      </c>
      <c r="G11" s="132"/>
      <c r="H11" s="132"/>
      <c r="I11" s="132"/>
      <c r="J11" s="132"/>
      <c r="K11" s="132">
        <f>K43</f>
        <v>300000</v>
      </c>
      <c r="L11" s="132">
        <f>L43</f>
        <v>465000</v>
      </c>
      <c r="M11" s="132">
        <f>M43</f>
        <v>465000</v>
      </c>
      <c r="N11" s="132">
        <f>N43</f>
        <v>435000</v>
      </c>
      <c r="O11" s="132">
        <f>O43</f>
        <v>310000</v>
      </c>
      <c r="P11" s="132"/>
      <c r="Q11" s="132"/>
      <c r="R11" s="132"/>
      <c r="S11" s="131">
        <f>SUM(G11:R11)</f>
        <v>1975000</v>
      </c>
      <c r="W11" s="22" t="s">
        <v>882</v>
      </c>
      <c r="X11" s="132"/>
      <c r="Y11" s="132"/>
      <c r="Z11" s="132"/>
      <c r="AA11" s="132"/>
      <c r="AB11" s="132">
        <f>AB43</f>
        <v>300000</v>
      </c>
      <c r="AC11" s="132">
        <f>AC43</f>
        <v>465000</v>
      </c>
      <c r="AD11" s="132">
        <f>AD43</f>
        <v>465000</v>
      </c>
      <c r="AE11" s="132">
        <f>AE43</f>
        <v>420000</v>
      </c>
      <c r="AF11" s="132">
        <f>AF43</f>
        <v>306900</v>
      </c>
      <c r="AG11" s="132"/>
      <c r="AH11" s="132"/>
      <c r="AI11" s="132"/>
      <c r="AJ11" s="59">
        <f>SUM(X11:AI11)</f>
        <v>1956900</v>
      </c>
      <c r="AN11" s="22" t="s">
        <v>882</v>
      </c>
      <c r="AO11" s="132"/>
      <c r="AP11" s="132"/>
      <c r="AQ11" s="132"/>
      <c r="AR11" s="132"/>
      <c r="AS11" s="132"/>
      <c r="AT11" s="132"/>
      <c r="AU11" s="132"/>
      <c r="AV11" s="132"/>
      <c r="AW11" s="132"/>
      <c r="AX11" s="132"/>
      <c r="AY11" s="132"/>
      <c r="AZ11" s="132"/>
      <c r="BA11" s="59">
        <f>SUM(AO11:AZ11)</f>
        <v>0</v>
      </c>
    </row>
    <row r="12" spans="5:53" s="22" customFormat="1">
      <c r="E12" s="358"/>
      <c r="F12" s="22" t="s">
        <v>883</v>
      </c>
      <c r="G12" s="132">
        <f>G43</f>
        <v>347200</v>
      </c>
      <c r="H12" s="132">
        <f>H43</f>
        <v>347200</v>
      </c>
      <c r="I12" s="132">
        <f>I43</f>
        <v>225000</v>
      </c>
      <c r="J12" s="132">
        <f>J43</f>
        <v>120900</v>
      </c>
      <c r="K12" s="132"/>
      <c r="L12" s="132"/>
      <c r="M12" s="132"/>
      <c r="N12" s="132"/>
      <c r="O12" s="132"/>
      <c r="P12" s="132">
        <f>P43</f>
        <v>261000</v>
      </c>
      <c r="Q12" s="132">
        <f>Q43</f>
        <v>347200</v>
      </c>
      <c r="R12" s="132">
        <f>R43</f>
        <v>348000</v>
      </c>
      <c r="S12" s="131">
        <f>SUM(G12:R12)</f>
        <v>1996500</v>
      </c>
      <c r="W12" s="22" t="s">
        <v>883</v>
      </c>
      <c r="X12" s="132">
        <f>X43</f>
        <v>347200</v>
      </c>
      <c r="Y12" s="132">
        <f>Y43</f>
        <v>347200</v>
      </c>
      <c r="Z12" s="132">
        <f>Z43</f>
        <v>225000</v>
      </c>
      <c r="AA12" s="132">
        <f>AA43</f>
        <v>120900</v>
      </c>
      <c r="AB12" s="132"/>
      <c r="AC12" s="132"/>
      <c r="AD12" s="132"/>
      <c r="AE12" s="132"/>
      <c r="AF12" s="132"/>
      <c r="AG12" s="132">
        <f>AG43</f>
        <v>261000</v>
      </c>
      <c r="AH12" s="132">
        <f>AH43</f>
        <v>347200</v>
      </c>
      <c r="AI12" s="132">
        <f>AI43</f>
        <v>348000</v>
      </c>
      <c r="AJ12" s="59">
        <f>SUM(X12:AI12)</f>
        <v>1996500</v>
      </c>
      <c r="AN12" s="22" t="s">
        <v>883</v>
      </c>
      <c r="AO12" s="132">
        <f>AO43</f>
        <v>347200</v>
      </c>
      <c r="AP12" s="132">
        <f>AP43</f>
        <v>347200</v>
      </c>
      <c r="AQ12" s="132">
        <f>AQ43</f>
        <v>225000</v>
      </c>
      <c r="AR12" s="132">
        <f>AR43</f>
        <v>120900</v>
      </c>
      <c r="AS12" s="132"/>
      <c r="AT12" s="132"/>
      <c r="AU12" s="132"/>
      <c r="AV12" s="132"/>
      <c r="AW12" s="132"/>
      <c r="AX12" s="132">
        <f>AX32</f>
        <v>248243.94</v>
      </c>
      <c r="AY12" s="132">
        <f>AY32</f>
        <v>358574.58</v>
      </c>
      <c r="AZ12" s="132">
        <f>AZ32</f>
        <v>358574.58</v>
      </c>
      <c r="BA12" s="59">
        <f>SUM(AO12:AZ12)</f>
        <v>2005693.1</v>
      </c>
    </row>
    <row r="13" spans="5:53" s="22" customFormat="1">
      <c r="E13" s="358"/>
      <c r="F13" s="22" t="s">
        <v>754</v>
      </c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Q13" s="132"/>
      <c r="R13" s="132"/>
      <c r="S13" s="131">
        <f t="shared" ref="S13:S29" si="0">SUM(G13:R13)</f>
        <v>0</v>
      </c>
      <c r="W13" s="22" t="s">
        <v>754</v>
      </c>
      <c r="X13" s="132"/>
      <c r="Y13" s="132"/>
      <c r="Z13" s="132"/>
      <c r="AA13" s="132"/>
      <c r="AB13" s="132"/>
      <c r="AC13" s="132"/>
      <c r="AD13" s="132"/>
      <c r="AE13" s="132"/>
      <c r="AF13" s="132"/>
      <c r="AG13" s="132"/>
      <c r="AH13" s="132"/>
      <c r="AI13" s="132"/>
      <c r="AJ13" s="59">
        <f t="shared" ref="AJ13:AJ29" si="1">SUM(X13:AI13)</f>
        <v>0</v>
      </c>
      <c r="AN13" s="22" t="s">
        <v>754</v>
      </c>
      <c r="AO13" s="132"/>
      <c r="AP13" s="132"/>
      <c r="AQ13" s="132"/>
      <c r="AR13" s="132">
        <v>520000</v>
      </c>
      <c r="AS13" s="132">
        <v>340000</v>
      </c>
      <c r="AT13" s="132">
        <v>0</v>
      </c>
      <c r="AU13" s="132">
        <v>125000</v>
      </c>
      <c r="AV13" s="132">
        <v>60000</v>
      </c>
      <c r="AW13" s="132">
        <v>170000</v>
      </c>
      <c r="AX13" s="132">
        <v>50000</v>
      </c>
      <c r="AY13" s="132"/>
      <c r="AZ13" s="132">
        <v>20000</v>
      </c>
      <c r="BA13" s="59">
        <f t="shared" ref="BA13:BA29" si="2">SUM(AO13:AZ13)</f>
        <v>1285000</v>
      </c>
    </row>
    <row r="14" spans="5:53" s="22" customFormat="1">
      <c r="E14" s="358"/>
      <c r="F14" s="22" t="s">
        <v>753</v>
      </c>
      <c r="G14" s="217">
        <f>13502*G1</f>
        <v>418562</v>
      </c>
      <c r="H14" s="217">
        <f t="shared" ref="H14:R14" si="3">13502*H1</f>
        <v>418562</v>
      </c>
      <c r="I14" s="217">
        <f t="shared" si="3"/>
        <v>405060</v>
      </c>
      <c r="J14" s="217">
        <f t="shared" si="3"/>
        <v>418562</v>
      </c>
      <c r="K14" s="217">
        <f t="shared" si="3"/>
        <v>405060</v>
      </c>
      <c r="L14" s="217">
        <f t="shared" si="3"/>
        <v>418562</v>
      </c>
      <c r="M14" s="217">
        <f t="shared" si="3"/>
        <v>418562</v>
      </c>
      <c r="N14" s="217">
        <f t="shared" si="3"/>
        <v>391558</v>
      </c>
      <c r="O14" s="217">
        <f t="shared" si="3"/>
        <v>418562</v>
      </c>
      <c r="P14" s="217">
        <f t="shared" si="3"/>
        <v>405060</v>
      </c>
      <c r="Q14" s="217">
        <f t="shared" si="3"/>
        <v>418562</v>
      </c>
      <c r="R14" s="217">
        <f t="shared" si="3"/>
        <v>405060</v>
      </c>
      <c r="S14" s="131">
        <f t="shared" si="0"/>
        <v>4941732</v>
      </c>
      <c r="W14" s="22" t="s">
        <v>423</v>
      </c>
      <c r="X14" s="217">
        <f>13502*X1</f>
        <v>418562</v>
      </c>
      <c r="Y14" s="217">
        <f t="shared" ref="Y14:AI14" si="4">13502*Y1</f>
        <v>418562</v>
      </c>
      <c r="Z14" s="217">
        <f t="shared" si="4"/>
        <v>405060</v>
      </c>
      <c r="AA14" s="217">
        <f t="shared" si="4"/>
        <v>418562</v>
      </c>
      <c r="AB14" s="217">
        <f t="shared" si="4"/>
        <v>405060</v>
      </c>
      <c r="AC14" s="217">
        <f t="shared" si="4"/>
        <v>418562</v>
      </c>
      <c r="AD14" s="217">
        <f t="shared" si="4"/>
        <v>418562</v>
      </c>
      <c r="AE14" s="217">
        <f t="shared" si="4"/>
        <v>378056</v>
      </c>
      <c r="AF14" s="217">
        <f t="shared" si="4"/>
        <v>418562</v>
      </c>
      <c r="AG14" s="217">
        <f t="shared" si="4"/>
        <v>405060</v>
      </c>
      <c r="AH14" s="217">
        <f t="shared" si="4"/>
        <v>418562</v>
      </c>
      <c r="AI14" s="217">
        <f t="shared" si="4"/>
        <v>405060</v>
      </c>
      <c r="AJ14" s="59">
        <f t="shared" si="1"/>
        <v>4928230</v>
      </c>
      <c r="AN14" s="22" t="s">
        <v>423</v>
      </c>
      <c r="AO14" s="217">
        <f>13502*AO1</f>
        <v>418562</v>
      </c>
      <c r="AP14" s="217">
        <f t="shared" ref="AP14:AZ14" si="5">13502*AP1</f>
        <v>418562</v>
      </c>
      <c r="AQ14" s="217">
        <f t="shared" si="5"/>
        <v>405060</v>
      </c>
      <c r="AR14" s="217">
        <f t="shared" si="5"/>
        <v>418562</v>
      </c>
      <c r="AS14" s="217">
        <f t="shared" si="5"/>
        <v>405060</v>
      </c>
      <c r="AT14" s="217">
        <f t="shared" si="5"/>
        <v>418562</v>
      </c>
      <c r="AU14" s="217">
        <f t="shared" si="5"/>
        <v>418562</v>
      </c>
      <c r="AV14" s="217">
        <f t="shared" si="5"/>
        <v>378056</v>
      </c>
      <c r="AW14" s="217">
        <f t="shared" si="5"/>
        <v>418562</v>
      </c>
      <c r="AX14" s="217">
        <f t="shared" si="5"/>
        <v>405060</v>
      </c>
      <c r="AY14" s="217">
        <f t="shared" si="5"/>
        <v>418562</v>
      </c>
      <c r="AZ14" s="217">
        <f t="shared" si="5"/>
        <v>405060</v>
      </c>
      <c r="BA14" s="59">
        <f t="shared" si="2"/>
        <v>4928230</v>
      </c>
    </row>
    <row r="15" spans="5:53" s="22" customFormat="1">
      <c r="E15" s="358"/>
      <c r="F15" s="59" t="s">
        <v>424</v>
      </c>
      <c r="G15" s="28">
        <f t="shared" ref="G15:R15" si="6">SUM(G11:G14)</f>
        <v>765762</v>
      </c>
      <c r="H15" s="28">
        <f t="shared" si="6"/>
        <v>765762</v>
      </c>
      <c r="I15" s="28">
        <f t="shared" si="6"/>
        <v>630060</v>
      </c>
      <c r="J15" s="28">
        <f t="shared" si="6"/>
        <v>539462</v>
      </c>
      <c r="K15" s="28">
        <f t="shared" si="6"/>
        <v>705060</v>
      </c>
      <c r="L15" s="28">
        <f t="shared" si="6"/>
        <v>883562</v>
      </c>
      <c r="M15" s="28">
        <f t="shared" si="6"/>
        <v>883562</v>
      </c>
      <c r="N15" s="28">
        <f t="shared" si="6"/>
        <v>826558</v>
      </c>
      <c r="O15" s="28">
        <f t="shared" si="6"/>
        <v>728562</v>
      </c>
      <c r="P15" s="28">
        <f t="shared" si="6"/>
        <v>666060</v>
      </c>
      <c r="Q15" s="28">
        <f t="shared" si="6"/>
        <v>765762</v>
      </c>
      <c r="R15" s="28">
        <f t="shared" si="6"/>
        <v>753060</v>
      </c>
      <c r="S15" s="131">
        <f t="shared" si="0"/>
        <v>8913232</v>
      </c>
      <c r="T15" s="124"/>
      <c r="W15" s="59" t="s">
        <v>424</v>
      </c>
      <c r="X15" s="28">
        <f t="shared" ref="X15:AI15" si="7">SUM(X11:X14)</f>
        <v>765762</v>
      </c>
      <c r="Y15" s="28">
        <f t="shared" si="7"/>
        <v>765762</v>
      </c>
      <c r="Z15" s="28">
        <f t="shared" si="7"/>
        <v>630060</v>
      </c>
      <c r="AA15" s="28">
        <f t="shared" si="7"/>
        <v>539462</v>
      </c>
      <c r="AB15" s="28">
        <f t="shared" si="7"/>
        <v>705060</v>
      </c>
      <c r="AC15" s="28">
        <f t="shared" si="7"/>
        <v>883562</v>
      </c>
      <c r="AD15" s="28">
        <f t="shared" si="7"/>
        <v>883562</v>
      </c>
      <c r="AE15" s="28">
        <f t="shared" si="7"/>
        <v>798056</v>
      </c>
      <c r="AF15" s="28">
        <f t="shared" si="7"/>
        <v>725462</v>
      </c>
      <c r="AG15" s="28">
        <f t="shared" si="7"/>
        <v>666060</v>
      </c>
      <c r="AH15" s="28">
        <f t="shared" si="7"/>
        <v>765762</v>
      </c>
      <c r="AI15" s="28">
        <f t="shared" si="7"/>
        <v>753060</v>
      </c>
      <c r="AJ15" s="59">
        <f t="shared" si="1"/>
        <v>8881630</v>
      </c>
      <c r="AN15" s="59" t="s">
        <v>424</v>
      </c>
      <c r="AO15" s="28">
        <f t="shared" ref="AO15:AZ15" si="8">SUM(AO11:AO14)</f>
        <v>765762</v>
      </c>
      <c r="AP15" s="28">
        <f t="shared" si="8"/>
        <v>765762</v>
      </c>
      <c r="AQ15" s="28">
        <f t="shared" si="8"/>
        <v>630060</v>
      </c>
      <c r="AR15" s="28">
        <f t="shared" si="8"/>
        <v>1059462</v>
      </c>
      <c r="AS15" s="28">
        <f t="shared" si="8"/>
        <v>745060</v>
      </c>
      <c r="AT15" s="28">
        <f t="shared" si="8"/>
        <v>418562</v>
      </c>
      <c r="AU15" s="28">
        <f t="shared" si="8"/>
        <v>543562</v>
      </c>
      <c r="AV15" s="28">
        <f t="shared" si="8"/>
        <v>438056</v>
      </c>
      <c r="AW15" s="28">
        <f t="shared" si="8"/>
        <v>588562</v>
      </c>
      <c r="AX15" s="28">
        <f t="shared" si="8"/>
        <v>703303.94</v>
      </c>
      <c r="AY15" s="28">
        <f t="shared" si="8"/>
        <v>777136.58000000007</v>
      </c>
      <c r="AZ15" s="28">
        <f t="shared" si="8"/>
        <v>783634.58000000007</v>
      </c>
      <c r="BA15" s="59">
        <f t="shared" si="2"/>
        <v>8218923.0999999996</v>
      </c>
    </row>
    <row r="16" spans="5:53" s="22" customFormat="1">
      <c r="E16" s="358"/>
      <c r="F16" s="22" t="s">
        <v>755</v>
      </c>
      <c r="G16" s="217">
        <f>9932*G1</f>
        <v>307892</v>
      </c>
      <c r="H16" s="217">
        <f t="shared" ref="H16:R16" si="9">9932*H1</f>
        <v>307892</v>
      </c>
      <c r="I16" s="217">
        <f t="shared" si="9"/>
        <v>297960</v>
      </c>
      <c r="J16" s="217">
        <f t="shared" si="9"/>
        <v>307892</v>
      </c>
      <c r="K16" s="217">
        <f t="shared" si="9"/>
        <v>297960</v>
      </c>
      <c r="L16" s="217">
        <f t="shared" si="9"/>
        <v>307892</v>
      </c>
      <c r="M16" s="217">
        <f t="shared" si="9"/>
        <v>307892</v>
      </c>
      <c r="N16" s="217">
        <f t="shared" si="9"/>
        <v>288028</v>
      </c>
      <c r="O16" s="217">
        <f t="shared" si="9"/>
        <v>307892</v>
      </c>
      <c r="P16" s="217">
        <f t="shared" si="9"/>
        <v>297960</v>
      </c>
      <c r="Q16" s="217">
        <f t="shared" si="9"/>
        <v>307892</v>
      </c>
      <c r="R16" s="217">
        <f t="shared" si="9"/>
        <v>297960</v>
      </c>
      <c r="S16" s="131">
        <f t="shared" si="0"/>
        <v>3635112</v>
      </c>
      <c r="W16" s="22" t="s">
        <v>425</v>
      </c>
      <c r="X16" s="217">
        <f>9932*X1</f>
        <v>307892</v>
      </c>
      <c r="Y16" s="217">
        <f t="shared" ref="Y16:AI16" si="10">9932*Y1</f>
        <v>307892</v>
      </c>
      <c r="Z16" s="217">
        <f t="shared" si="10"/>
        <v>297960</v>
      </c>
      <c r="AA16" s="217">
        <f t="shared" si="10"/>
        <v>307892</v>
      </c>
      <c r="AB16" s="217">
        <f t="shared" si="10"/>
        <v>297960</v>
      </c>
      <c r="AC16" s="217">
        <f t="shared" si="10"/>
        <v>307892</v>
      </c>
      <c r="AD16" s="217">
        <f t="shared" si="10"/>
        <v>307892</v>
      </c>
      <c r="AE16" s="217">
        <f t="shared" si="10"/>
        <v>278096</v>
      </c>
      <c r="AF16" s="217">
        <f t="shared" si="10"/>
        <v>307892</v>
      </c>
      <c r="AG16" s="217">
        <f t="shared" si="10"/>
        <v>297960</v>
      </c>
      <c r="AH16" s="217">
        <f t="shared" si="10"/>
        <v>307892</v>
      </c>
      <c r="AI16" s="217">
        <f t="shared" si="10"/>
        <v>297960</v>
      </c>
      <c r="AJ16" s="59">
        <f t="shared" si="1"/>
        <v>3625180</v>
      </c>
      <c r="AN16" s="22" t="s">
        <v>425</v>
      </c>
      <c r="AO16" s="217">
        <f>9932*AO1</f>
        <v>307892</v>
      </c>
      <c r="AP16" s="217">
        <f t="shared" ref="AP16:AZ16" si="11">9932*AP1</f>
        <v>307892</v>
      </c>
      <c r="AQ16" s="217">
        <f t="shared" si="11"/>
        <v>297960</v>
      </c>
      <c r="AR16" s="217">
        <f t="shared" si="11"/>
        <v>307892</v>
      </c>
      <c r="AS16" s="217">
        <f t="shared" si="11"/>
        <v>297960</v>
      </c>
      <c r="AT16" s="217">
        <f t="shared" si="11"/>
        <v>307892</v>
      </c>
      <c r="AU16" s="217">
        <f t="shared" si="11"/>
        <v>307892</v>
      </c>
      <c r="AV16" s="217">
        <f t="shared" si="11"/>
        <v>278096</v>
      </c>
      <c r="AW16" s="217">
        <f t="shared" si="11"/>
        <v>307892</v>
      </c>
      <c r="AX16" s="217">
        <f t="shared" si="11"/>
        <v>297960</v>
      </c>
      <c r="AY16" s="217">
        <f t="shared" si="11"/>
        <v>307892</v>
      </c>
      <c r="AZ16" s="217">
        <f t="shared" si="11"/>
        <v>297960</v>
      </c>
      <c r="BA16" s="59">
        <f t="shared" si="2"/>
        <v>3625180</v>
      </c>
    </row>
    <row r="17" spans="1:54" s="22" customFormat="1">
      <c r="E17" s="358"/>
      <c r="G17" s="217"/>
      <c r="H17" s="217"/>
      <c r="I17" s="217"/>
      <c r="J17" s="217"/>
      <c r="K17" s="217"/>
      <c r="L17" s="217"/>
      <c r="M17" s="217"/>
      <c r="N17" s="217"/>
      <c r="O17" s="217"/>
      <c r="P17" s="217"/>
      <c r="Q17" s="217"/>
      <c r="R17" s="217"/>
      <c r="S17" s="131"/>
      <c r="X17" s="217"/>
      <c r="Y17" s="217"/>
      <c r="Z17" s="217"/>
      <c r="AA17" s="217"/>
      <c r="AB17" s="217"/>
      <c r="AC17" s="217"/>
      <c r="AD17" s="217"/>
      <c r="AE17" s="217"/>
      <c r="AF17" s="217"/>
      <c r="AG17" s="217"/>
      <c r="AH17" s="217"/>
      <c r="AI17" s="217"/>
      <c r="AJ17" s="59"/>
      <c r="AO17" s="217"/>
      <c r="AP17" s="217"/>
      <c r="AQ17" s="217"/>
      <c r="AR17" s="217"/>
      <c r="AS17" s="217"/>
      <c r="AT17" s="217"/>
      <c r="AU17" s="217"/>
      <c r="AV17" s="217"/>
      <c r="AW17" s="217"/>
      <c r="AX17" s="217"/>
      <c r="AY17" s="217"/>
      <c r="AZ17" s="217"/>
      <c r="BA17" s="59"/>
    </row>
    <row r="18" spans="1:54" s="22" customFormat="1">
      <c r="E18" s="358"/>
      <c r="F18" s="22" t="s">
        <v>756</v>
      </c>
      <c r="G18" s="132"/>
      <c r="H18" s="132"/>
      <c r="I18" s="132"/>
      <c r="J18" s="132"/>
      <c r="K18" s="132">
        <f>5000*K1</f>
        <v>150000</v>
      </c>
      <c r="L18" s="132">
        <f>5000*L1</f>
        <v>155000</v>
      </c>
      <c r="M18" s="132">
        <f>5000*M1</f>
        <v>155000</v>
      </c>
      <c r="N18" s="132">
        <f>5000*N1</f>
        <v>145000</v>
      </c>
      <c r="O18" s="132">
        <f>5000*O1</f>
        <v>155000</v>
      </c>
      <c r="P18" s="132"/>
      <c r="Q18" s="132"/>
      <c r="R18" s="132"/>
      <c r="S18" s="131">
        <f t="shared" si="0"/>
        <v>760000</v>
      </c>
      <c r="W18" s="22" t="s">
        <v>756</v>
      </c>
      <c r="X18" s="132"/>
      <c r="Y18" s="132"/>
      <c r="Z18" s="132"/>
      <c r="AA18" s="132"/>
      <c r="AB18" s="132">
        <f>5000*AB1</f>
        <v>150000</v>
      </c>
      <c r="AC18" s="132">
        <f>5000*AC1</f>
        <v>155000</v>
      </c>
      <c r="AD18" s="132">
        <f>5000*AD1</f>
        <v>155000</v>
      </c>
      <c r="AE18" s="132">
        <f>5000*AE1</f>
        <v>140000</v>
      </c>
      <c r="AF18" s="132">
        <f>5000*AF1</f>
        <v>155000</v>
      </c>
      <c r="AG18" s="132"/>
      <c r="AH18" s="132"/>
      <c r="AI18" s="132"/>
      <c r="AJ18" s="59">
        <f t="shared" si="1"/>
        <v>755000</v>
      </c>
      <c r="AN18" s="22" t="s">
        <v>426</v>
      </c>
      <c r="AO18" s="132"/>
      <c r="AP18" s="132"/>
      <c r="AQ18" s="132"/>
      <c r="AR18" s="132"/>
      <c r="AS18" s="132">
        <f>5000*AS1</f>
        <v>150000</v>
      </c>
      <c r="AT18" s="132">
        <f>5000*AT1</f>
        <v>155000</v>
      </c>
      <c r="AU18" s="132">
        <f>5000*AU1</f>
        <v>155000</v>
      </c>
      <c r="AV18" s="132">
        <f>5000*AV1</f>
        <v>140000</v>
      </c>
      <c r="AW18" s="132">
        <f>5000*AW1</f>
        <v>155000</v>
      </c>
      <c r="AX18" s="132"/>
      <c r="AY18" s="132"/>
      <c r="AZ18" s="132"/>
      <c r="BA18" s="59">
        <f t="shared" si="2"/>
        <v>755000</v>
      </c>
    </row>
    <row r="19" spans="1:54" s="22" customFormat="1">
      <c r="E19" s="358"/>
      <c r="F19" s="22" t="s">
        <v>757</v>
      </c>
      <c r="G19" s="132">
        <f>5000*G1</f>
        <v>155000</v>
      </c>
      <c r="H19" s="132">
        <f>5000*H1</f>
        <v>155000</v>
      </c>
      <c r="I19" s="132">
        <f>5000*I1</f>
        <v>150000</v>
      </c>
      <c r="J19" s="132">
        <f>5000*J1</f>
        <v>155000</v>
      </c>
      <c r="K19" s="132"/>
      <c r="L19" s="132"/>
      <c r="M19" s="132"/>
      <c r="N19" s="132"/>
      <c r="O19" s="132"/>
      <c r="P19" s="132">
        <f>5000*P1</f>
        <v>150000</v>
      </c>
      <c r="Q19" s="132">
        <f>5000*Q1</f>
        <v>155000</v>
      </c>
      <c r="R19" s="132">
        <f>5000*R1</f>
        <v>150000</v>
      </c>
      <c r="S19" s="131">
        <f t="shared" si="0"/>
        <v>1070000</v>
      </c>
      <c r="W19" s="22" t="s">
        <v>757</v>
      </c>
      <c r="X19" s="132">
        <f>5000*X1</f>
        <v>155000</v>
      </c>
      <c r="Y19" s="132">
        <f>5000*Y1</f>
        <v>155000</v>
      </c>
      <c r="Z19" s="132">
        <f>5000*Z1</f>
        <v>150000</v>
      </c>
      <c r="AA19" s="132">
        <f>5000*AA1</f>
        <v>155000</v>
      </c>
      <c r="AB19" s="132"/>
      <c r="AC19" s="132"/>
      <c r="AD19" s="132"/>
      <c r="AE19" s="132"/>
      <c r="AF19" s="132"/>
      <c r="AG19" s="132">
        <f>5000*AG1</f>
        <v>150000</v>
      </c>
      <c r="AH19" s="132">
        <f>5000*AH1</f>
        <v>155000</v>
      </c>
      <c r="AI19" s="132">
        <f>5000*AI1</f>
        <v>150000</v>
      </c>
      <c r="AJ19" s="59">
        <f t="shared" si="1"/>
        <v>1070000</v>
      </c>
      <c r="AN19" s="22" t="s">
        <v>427</v>
      </c>
      <c r="AO19" s="132">
        <f>5000*AO1</f>
        <v>155000</v>
      </c>
      <c r="AP19" s="132">
        <f>5000*AP1</f>
        <v>155000</v>
      </c>
      <c r="AQ19" s="132">
        <f>5000*AQ1</f>
        <v>150000</v>
      </c>
      <c r="AR19" s="132">
        <f>5000*AR1</f>
        <v>155000</v>
      </c>
      <c r="AS19" s="132"/>
      <c r="AT19" s="132"/>
      <c r="AU19" s="132"/>
      <c r="AV19" s="132"/>
      <c r="AW19" s="132"/>
      <c r="AX19" s="132">
        <f>5000*AX1</f>
        <v>150000</v>
      </c>
      <c r="AY19" s="132">
        <f>5000*AY1</f>
        <v>155000</v>
      </c>
      <c r="AZ19" s="132">
        <f>5000*AZ1</f>
        <v>150000</v>
      </c>
      <c r="BA19" s="59">
        <f t="shared" si="2"/>
        <v>1070000</v>
      </c>
    </row>
    <row r="20" spans="1:54">
      <c r="F20" s="22" t="s">
        <v>758</v>
      </c>
      <c r="G20" s="219"/>
      <c r="H20" s="219"/>
      <c r="I20" s="219"/>
      <c r="J20" s="219"/>
      <c r="K20" s="132"/>
      <c r="L20" s="132"/>
      <c r="M20" s="132"/>
      <c r="N20" s="132"/>
      <c r="O20" s="132"/>
      <c r="P20" s="219"/>
      <c r="Q20" s="219"/>
      <c r="R20" s="219"/>
      <c r="S20" s="131">
        <f t="shared" si="0"/>
        <v>0</v>
      </c>
      <c r="W20" s="22" t="s">
        <v>758</v>
      </c>
      <c r="X20" s="219"/>
      <c r="Y20" s="219"/>
      <c r="Z20" s="219"/>
      <c r="AA20" s="219"/>
      <c r="AB20" s="132"/>
      <c r="AC20" s="132"/>
      <c r="AD20" s="132"/>
      <c r="AE20" s="132"/>
      <c r="AF20" s="132"/>
      <c r="AG20" s="219"/>
      <c r="AH20" s="219"/>
      <c r="AI20" s="219"/>
      <c r="AJ20" s="59">
        <f t="shared" si="1"/>
        <v>0</v>
      </c>
      <c r="AN20" s="22" t="s">
        <v>428</v>
      </c>
      <c r="AO20" s="219"/>
      <c r="AP20" s="219"/>
      <c r="AQ20" s="219"/>
      <c r="AR20" s="219"/>
      <c r="AS20" s="132">
        <v>220000</v>
      </c>
      <c r="AT20" s="132">
        <v>65000</v>
      </c>
      <c r="AU20" s="132">
        <v>125000</v>
      </c>
      <c r="AV20" s="132">
        <v>95000</v>
      </c>
      <c r="AW20" s="132">
        <v>170000</v>
      </c>
      <c r="AX20" s="219"/>
      <c r="AY20" s="219"/>
      <c r="AZ20" s="219"/>
      <c r="BA20" s="59">
        <f t="shared" si="2"/>
        <v>675000</v>
      </c>
    </row>
    <row r="21" spans="1:54" s="22" customFormat="1">
      <c r="E21" s="358"/>
      <c r="F21" s="59" t="s">
        <v>429</v>
      </c>
      <c r="G21" s="28">
        <f>SUM(G17:G20)</f>
        <v>155000</v>
      </c>
      <c r="H21" s="28">
        <f>SUM(H17:H20)</f>
        <v>155000</v>
      </c>
      <c r="I21" s="28">
        <f>SUM(I17:I20)</f>
        <v>150000</v>
      </c>
      <c r="J21" s="28">
        <f>SUM(J17:J20)</f>
        <v>155000</v>
      </c>
      <c r="K21" s="28">
        <f t="shared" ref="K21:R21" si="12">SUM(K17:K20)</f>
        <v>150000</v>
      </c>
      <c r="L21" s="28">
        <f t="shared" si="12"/>
        <v>155000</v>
      </c>
      <c r="M21" s="28">
        <f t="shared" si="12"/>
        <v>155000</v>
      </c>
      <c r="N21" s="28">
        <f t="shared" si="12"/>
        <v>145000</v>
      </c>
      <c r="O21" s="28">
        <f t="shared" si="12"/>
        <v>155000</v>
      </c>
      <c r="P21" s="28">
        <f t="shared" si="12"/>
        <v>150000</v>
      </c>
      <c r="Q21" s="28">
        <f t="shared" si="12"/>
        <v>155000</v>
      </c>
      <c r="R21" s="28">
        <f t="shared" si="12"/>
        <v>150000</v>
      </c>
      <c r="S21" s="131">
        <f t="shared" si="0"/>
        <v>1830000</v>
      </c>
      <c r="W21" s="59" t="s">
        <v>429</v>
      </c>
      <c r="X21" s="28">
        <f>SUM(X17:X20)</f>
        <v>155000</v>
      </c>
      <c r="Y21" s="28">
        <f>SUM(Y17:Y20)</f>
        <v>155000</v>
      </c>
      <c r="Z21" s="28">
        <f>SUM(Z17:Z20)</f>
        <v>150000</v>
      </c>
      <c r="AA21" s="28">
        <f>SUM(AA17:AA20)</f>
        <v>155000</v>
      </c>
      <c r="AB21" s="28">
        <f t="shared" ref="AB21:AI21" si="13">SUM(AB17:AB20)</f>
        <v>150000</v>
      </c>
      <c r="AC21" s="28">
        <f t="shared" si="13"/>
        <v>155000</v>
      </c>
      <c r="AD21" s="28">
        <f t="shared" si="13"/>
        <v>155000</v>
      </c>
      <c r="AE21" s="28">
        <f t="shared" si="13"/>
        <v>140000</v>
      </c>
      <c r="AF21" s="28">
        <f t="shared" si="13"/>
        <v>155000</v>
      </c>
      <c r="AG21" s="28">
        <f t="shared" si="13"/>
        <v>150000</v>
      </c>
      <c r="AH21" s="28">
        <f t="shared" si="13"/>
        <v>155000</v>
      </c>
      <c r="AI21" s="28">
        <f t="shared" si="13"/>
        <v>150000</v>
      </c>
      <c r="AJ21" s="59">
        <f t="shared" si="1"/>
        <v>1825000</v>
      </c>
      <c r="AN21" s="59" t="s">
        <v>429</v>
      </c>
      <c r="AO21" s="28">
        <f>SUM(AO17:AO20)</f>
        <v>155000</v>
      </c>
      <c r="AP21" s="28">
        <f t="shared" ref="AP21:AU21" si="14">SUM(AP17:AP20)</f>
        <v>155000</v>
      </c>
      <c r="AQ21" s="28">
        <f t="shared" si="14"/>
        <v>150000</v>
      </c>
      <c r="AR21" s="28">
        <f t="shared" si="14"/>
        <v>155000</v>
      </c>
      <c r="AS21" s="28">
        <f t="shared" si="14"/>
        <v>370000</v>
      </c>
      <c r="AT21" s="28">
        <f t="shared" si="14"/>
        <v>220000</v>
      </c>
      <c r="AU21" s="28">
        <f t="shared" si="14"/>
        <v>280000</v>
      </c>
      <c r="AV21" s="28">
        <f>SUM(AV17:AV20)</f>
        <v>235000</v>
      </c>
      <c r="AW21" s="28">
        <f>SUM(AW17:AW20)</f>
        <v>325000</v>
      </c>
      <c r="AX21" s="28">
        <f>SUM(AX17:AX20)</f>
        <v>150000</v>
      </c>
      <c r="AY21" s="28">
        <f>SUM(AY17:AY20)</f>
        <v>155000</v>
      </c>
      <c r="AZ21" s="28">
        <f>SUM(AZ17:AZ20)</f>
        <v>150000</v>
      </c>
      <c r="BA21" s="59">
        <f t="shared" si="2"/>
        <v>2500000</v>
      </c>
    </row>
    <row r="22" spans="1:54" s="22" customFormat="1">
      <c r="E22" s="358"/>
      <c r="F22" s="59" t="s">
        <v>430</v>
      </c>
      <c r="G22" s="28">
        <f>SUM(G15:G16,G21)</f>
        <v>1228654</v>
      </c>
      <c r="H22" s="28">
        <f t="shared" ref="H22:R22" si="15">SUM(H15:H16,H21)</f>
        <v>1228654</v>
      </c>
      <c r="I22" s="28">
        <f t="shared" si="15"/>
        <v>1078020</v>
      </c>
      <c r="J22" s="28">
        <f t="shared" si="15"/>
        <v>1002354</v>
      </c>
      <c r="K22" s="28">
        <f t="shared" si="15"/>
        <v>1153020</v>
      </c>
      <c r="L22" s="28">
        <f t="shared" si="15"/>
        <v>1346454</v>
      </c>
      <c r="M22" s="28">
        <f t="shared" si="15"/>
        <v>1346454</v>
      </c>
      <c r="N22" s="28">
        <f t="shared" si="15"/>
        <v>1259586</v>
      </c>
      <c r="O22" s="28">
        <f t="shared" si="15"/>
        <v>1191454</v>
      </c>
      <c r="P22" s="28">
        <f t="shared" si="15"/>
        <v>1114020</v>
      </c>
      <c r="Q22" s="28">
        <f t="shared" si="15"/>
        <v>1228654</v>
      </c>
      <c r="R22" s="28">
        <f t="shared" si="15"/>
        <v>1201020</v>
      </c>
      <c r="S22" s="131">
        <f t="shared" si="0"/>
        <v>14378344</v>
      </c>
      <c r="W22" s="59" t="s">
        <v>430</v>
      </c>
      <c r="X22" s="28">
        <f>SUM(X15:X16,X21)</f>
        <v>1228654</v>
      </c>
      <c r="Y22" s="28">
        <f t="shared" ref="Y22:AI22" si="16">SUM(Y15:Y16,Y21)</f>
        <v>1228654</v>
      </c>
      <c r="Z22" s="28">
        <f t="shared" si="16"/>
        <v>1078020</v>
      </c>
      <c r="AA22" s="28">
        <f t="shared" si="16"/>
        <v>1002354</v>
      </c>
      <c r="AB22" s="28">
        <f t="shared" si="16"/>
        <v>1153020</v>
      </c>
      <c r="AC22" s="28">
        <f t="shared" si="16"/>
        <v>1346454</v>
      </c>
      <c r="AD22" s="28">
        <f t="shared" si="16"/>
        <v>1346454</v>
      </c>
      <c r="AE22" s="28">
        <f t="shared" si="16"/>
        <v>1216152</v>
      </c>
      <c r="AF22" s="28">
        <f t="shared" si="16"/>
        <v>1188354</v>
      </c>
      <c r="AG22" s="28">
        <f t="shared" si="16"/>
        <v>1114020</v>
      </c>
      <c r="AH22" s="28">
        <f t="shared" si="16"/>
        <v>1228654</v>
      </c>
      <c r="AI22" s="28">
        <f t="shared" si="16"/>
        <v>1201020</v>
      </c>
      <c r="AJ22" s="59">
        <f t="shared" si="1"/>
        <v>14331810</v>
      </c>
      <c r="AN22" s="59" t="s">
        <v>430</v>
      </c>
      <c r="AO22" s="28">
        <f t="shared" ref="AO22:AZ22" si="17">SUM(AO15:AO16,AO21)</f>
        <v>1228654</v>
      </c>
      <c r="AP22" s="28">
        <f t="shared" si="17"/>
        <v>1228654</v>
      </c>
      <c r="AQ22" s="28">
        <f t="shared" si="17"/>
        <v>1078020</v>
      </c>
      <c r="AR22" s="28">
        <f t="shared" si="17"/>
        <v>1522354</v>
      </c>
      <c r="AS22" s="28">
        <f t="shared" si="17"/>
        <v>1413020</v>
      </c>
      <c r="AT22" s="28">
        <f t="shared" si="17"/>
        <v>946454</v>
      </c>
      <c r="AU22" s="28">
        <f t="shared" si="17"/>
        <v>1131454</v>
      </c>
      <c r="AV22" s="28">
        <f t="shared" si="17"/>
        <v>951152</v>
      </c>
      <c r="AW22" s="28">
        <f t="shared" si="17"/>
        <v>1221454</v>
      </c>
      <c r="AX22" s="28">
        <f t="shared" si="17"/>
        <v>1151263.94</v>
      </c>
      <c r="AY22" s="28">
        <f t="shared" si="17"/>
        <v>1240028.58</v>
      </c>
      <c r="AZ22" s="28">
        <f t="shared" si="17"/>
        <v>1231594.58</v>
      </c>
      <c r="BA22" s="59">
        <f t="shared" si="2"/>
        <v>14344103.1</v>
      </c>
    </row>
    <row r="23" spans="1:54" s="22" customFormat="1">
      <c r="E23" s="358"/>
      <c r="F23" s="59" t="s">
        <v>380</v>
      </c>
      <c r="G23" s="128">
        <f t="shared" ref="G23:L23" si="18">G21/G22</f>
        <v>0.12615431195438259</v>
      </c>
      <c r="H23" s="128">
        <f t="shared" si="18"/>
        <v>0.12615431195438259</v>
      </c>
      <c r="I23" s="128">
        <f t="shared" si="18"/>
        <v>0.13914398619691656</v>
      </c>
      <c r="J23" s="128">
        <f t="shared" si="18"/>
        <v>0.1546359868868683</v>
      </c>
      <c r="K23" s="128">
        <f t="shared" si="18"/>
        <v>0.13009314669303221</v>
      </c>
      <c r="L23" s="128">
        <f t="shared" si="18"/>
        <v>0.11511718929870608</v>
      </c>
      <c r="M23" s="128">
        <f t="shared" ref="M23:R23" si="19">M21/M22</f>
        <v>0.11511718929870608</v>
      </c>
      <c r="N23" s="128">
        <f t="shared" si="19"/>
        <v>0.11511718929870608</v>
      </c>
      <c r="O23" s="128">
        <f t="shared" si="19"/>
        <v>0.13009314669303221</v>
      </c>
      <c r="P23" s="128">
        <f t="shared" si="19"/>
        <v>0.13464749286368288</v>
      </c>
      <c r="Q23" s="128">
        <f t="shared" si="19"/>
        <v>0.12615431195438259</v>
      </c>
      <c r="R23" s="128">
        <f t="shared" si="19"/>
        <v>0.12489384023579957</v>
      </c>
      <c r="S23" s="131"/>
      <c r="W23" s="59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59"/>
      <c r="AN23" s="59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59"/>
    </row>
    <row r="24" spans="1:54" s="22" customFormat="1">
      <c r="E24" s="35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131"/>
      <c r="T24" s="124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59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59"/>
    </row>
    <row r="25" spans="1:54" s="22" customFormat="1">
      <c r="E25" s="358"/>
      <c r="F25" s="22" t="s">
        <v>431</v>
      </c>
      <c r="G25" s="28">
        <f>G15/((1-0.02499)*(1-0.02154))</f>
        <v>802678.56407669594</v>
      </c>
      <c r="H25" s="28">
        <f t="shared" ref="H25:R25" si="20">H15/((1-0.02499)*(1-0.02154))</f>
        <v>802678.56407669594</v>
      </c>
      <c r="I25" s="28">
        <f t="shared" si="20"/>
        <v>660434.51631468139</v>
      </c>
      <c r="J25" s="28">
        <f t="shared" si="20"/>
        <v>565468.88397954265</v>
      </c>
      <c r="K25" s="28">
        <f t="shared" si="20"/>
        <v>739050.18581219134</v>
      </c>
      <c r="L25" s="28">
        <f t="shared" si="20"/>
        <v>926157.57563411829</v>
      </c>
      <c r="M25" s="28">
        <f t="shared" si="20"/>
        <v>926157.57563411829</v>
      </c>
      <c r="N25" s="28">
        <f t="shared" si="20"/>
        <v>866405.4739803042</v>
      </c>
      <c r="O25" s="28">
        <f t="shared" si="20"/>
        <v>763685.19200593105</v>
      </c>
      <c r="P25" s="28">
        <f t="shared" si="20"/>
        <v>698170.03767348616</v>
      </c>
      <c r="Q25" s="28">
        <f t="shared" si="20"/>
        <v>802678.56407669594</v>
      </c>
      <c r="R25" s="28">
        <f t="shared" si="20"/>
        <v>789364.21429059771</v>
      </c>
      <c r="S25" s="131">
        <f t="shared" si="0"/>
        <v>9342929.3475550599</v>
      </c>
      <c r="T25" s="124">
        <f>S25/$S$28</f>
        <v>0.6217165041804108</v>
      </c>
      <c r="W25" s="22" t="s">
        <v>431</v>
      </c>
      <c r="X25" s="28">
        <f t="shared" ref="X25:AI25" si="21">X15/((1-0.02499)*(1-0.02154))</f>
        <v>802678.56407669594</v>
      </c>
      <c r="Y25" s="28">
        <f t="shared" si="21"/>
        <v>802678.56407669594</v>
      </c>
      <c r="Z25" s="28">
        <f t="shared" si="21"/>
        <v>660434.51631468139</v>
      </c>
      <c r="AA25" s="28">
        <f t="shared" si="21"/>
        <v>565468.88397954265</v>
      </c>
      <c r="AB25" s="28">
        <f t="shared" si="21"/>
        <v>739050.18581219134</v>
      </c>
      <c r="AC25" s="28">
        <f t="shared" si="21"/>
        <v>926157.57563411829</v>
      </c>
      <c r="AD25" s="28">
        <f t="shared" si="21"/>
        <v>926157.57563411829</v>
      </c>
      <c r="AE25" s="28">
        <f t="shared" si="21"/>
        <v>836529.42315339716</v>
      </c>
      <c r="AF25" s="28">
        <f t="shared" si="21"/>
        <v>760435.74433336733</v>
      </c>
      <c r="AG25" s="28">
        <f t="shared" si="21"/>
        <v>698170.03767348616</v>
      </c>
      <c r="AH25" s="28">
        <f t="shared" si="21"/>
        <v>802678.56407669594</v>
      </c>
      <c r="AI25" s="28">
        <f t="shared" si="21"/>
        <v>789364.21429059771</v>
      </c>
      <c r="AJ25" s="59">
        <f t="shared" si="1"/>
        <v>9309803.8490555882</v>
      </c>
      <c r="AK25" s="124">
        <f>AJ25/$AJ$28</f>
        <v>0.62152461274888338</v>
      </c>
      <c r="AN25" s="22" t="s">
        <v>431</v>
      </c>
      <c r="AO25" s="28">
        <f t="shared" ref="AO25:AZ25" si="22">AO15/((1-0.02499)*(1-0.02154))</f>
        <v>802678.56407669594</v>
      </c>
      <c r="AP25" s="28">
        <f t="shared" si="22"/>
        <v>802678.56407669594</v>
      </c>
      <c r="AQ25" s="28">
        <f t="shared" si="22"/>
        <v>660434.51631468139</v>
      </c>
      <c r="AR25" s="28">
        <f t="shared" si="22"/>
        <v>1110537.525828945</v>
      </c>
      <c r="AS25" s="28">
        <f t="shared" si="22"/>
        <v>780978.54287752998</v>
      </c>
      <c r="AT25" s="28">
        <f t="shared" si="22"/>
        <v>438740.4247495567</v>
      </c>
      <c r="AU25" s="28">
        <f t="shared" si="22"/>
        <v>569766.54057873995</v>
      </c>
      <c r="AV25" s="28">
        <f t="shared" si="22"/>
        <v>459174.20956534945</v>
      </c>
      <c r="AW25" s="28">
        <f t="shared" si="22"/>
        <v>616935.94227724592</v>
      </c>
      <c r="AX25" s="28">
        <f t="shared" si="22"/>
        <v>737209.46804448729</v>
      </c>
      <c r="AY25" s="28">
        <f t="shared" si="22"/>
        <v>814601.50036940258</v>
      </c>
      <c r="AZ25" s="28">
        <f t="shared" si="22"/>
        <v>821412.76197466685</v>
      </c>
      <c r="BA25" s="59">
        <f t="shared" si="2"/>
        <v>8615148.5607339982</v>
      </c>
      <c r="BB25" s="124">
        <f>BA25/$BA$28</f>
        <v>0.57508861185094728</v>
      </c>
    </row>
    <row r="26" spans="1:54" s="22" customFormat="1">
      <c r="E26" s="358"/>
      <c r="F26" s="22" t="s">
        <v>432</v>
      </c>
      <c r="G26" s="28">
        <f>G16/((1-0.01)*(1-0.033))</f>
        <v>321615.32595865586</v>
      </c>
      <c r="H26" s="28">
        <f t="shared" ref="H26:R26" si="23">H16/((1-0.01)*(1-0.033))</f>
        <v>321615.32595865586</v>
      </c>
      <c r="I26" s="28">
        <f t="shared" si="23"/>
        <v>311240.63802450564</v>
      </c>
      <c r="J26" s="28">
        <f t="shared" si="23"/>
        <v>321615.32595865586</v>
      </c>
      <c r="K26" s="28">
        <f t="shared" si="23"/>
        <v>311240.63802450564</v>
      </c>
      <c r="L26" s="28">
        <f t="shared" si="23"/>
        <v>321615.32595865586</v>
      </c>
      <c r="M26" s="28">
        <f t="shared" si="23"/>
        <v>321615.32595865586</v>
      </c>
      <c r="N26" s="28">
        <f t="shared" si="23"/>
        <v>300865.95009035547</v>
      </c>
      <c r="O26" s="28">
        <f t="shared" si="23"/>
        <v>321615.32595865586</v>
      </c>
      <c r="P26" s="28">
        <f t="shared" si="23"/>
        <v>311240.63802450564</v>
      </c>
      <c r="Q26" s="28">
        <f t="shared" si="23"/>
        <v>321615.32595865586</v>
      </c>
      <c r="R26" s="28">
        <f t="shared" si="23"/>
        <v>311240.63802450564</v>
      </c>
      <c r="S26" s="131">
        <f t="shared" si="0"/>
        <v>3797135.7838989692</v>
      </c>
      <c r="T26" s="124">
        <f>S26/$S$28</f>
        <v>0.25267685301310672</v>
      </c>
      <c r="W26" s="22" t="s">
        <v>432</v>
      </c>
      <c r="X26" s="28">
        <f>X16/((1-0.01)*(1-0.033))</f>
        <v>321615.32595865586</v>
      </c>
      <c r="Y26" s="28">
        <f t="shared" ref="Y26:AI26" si="24">Y16/((1-0.01)*(1-0.033))</f>
        <v>321615.32595865586</v>
      </c>
      <c r="Z26" s="28">
        <f t="shared" si="24"/>
        <v>311240.63802450564</v>
      </c>
      <c r="AA26" s="28">
        <f t="shared" si="24"/>
        <v>321615.32595865586</v>
      </c>
      <c r="AB26" s="28">
        <f t="shared" si="24"/>
        <v>311240.63802450564</v>
      </c>
      <c r="AC26" s="28">
        <f t="shared" si="24"/>
        <v>321615.32595865586</v>
      </c>
      <c r="AD26" s="28">
        <f t="shared" si="24"/>
        <v>321615.32595865586</v>
      </c>
      <c r="AE26" s="28">
        <f t="shared" si="24"/>
        <v>290491.26215620525</v>
      </c>
      <c r="AF26" s="28">
        <f t="shared" si="24"/>
        <v>321615.32595865586</v>
      </c>
      <c r="AG26" s="28">
        <f t="shared" si="24"/>
        <v>311240.63802450564</v>
      </c>
      <c r="AH26" s="28">
        <f t="shared" si="24"/>
        <v>321615.32595865586</v>
      </c>
      <c r="AI26" s="28">
        <f t="shared" si="24"/>
        <v>311240.63802450564</v>
      </c>
      <c r="AJ26" s="59">
        <f t="shared" si="1"/>
        <v>3786761.0959648187</v>
      </c>
      <c r="AK26" s="124">
        <f>AJ26/$AJ$28</f>
        <v>0.25280502810817257</v>
      </c>
      <c r="AN26" s="22" t="s">
        <v>432</v>
      </c>
      <c r="AO26" s="28">
        <f>AO16/((1-0.01)*(1-0.033))</f>
        <v>321615.32595865586</v>
      </c>
      <c r="AP26" s="28">
        <f t="shared" ref="AP26:AZ26" si="25">AP16/((1-0.01)*(1-0.033))</f>
        <v>321615.32595865586</v>
      </c>
      <c r="AQ26" s="28">
        <f t="shared" si="25"/>
        <v>311240.63802450564</v>
      </c>
      <c r="AR26" s="28">
        <f t="shared" si="25"/>
        <v>321615.32595865586</v>
      </c>
      <c r="AS26" s="28">
        <f t="shared" si="25"/>
        <v>311240.63802450564</v>
      </c>
      <c r="AT26" s="28">
        <f t="shared" si="25"/>
        <v>321615.32595865586</v>
      </c>
      <c r="AU26" s="28">
        <f t="shared" si="25"/>
        <v>321615.32595865586</v>
      </c>
      <c r="AV26" s="28">
        <f t="shared" si="25"/>
        <v>290491.26215620525</v>
      </c>
      <c r="AW26" s="28">
        <f t="shared" si="25"/>
        <v>321615.32595865586</v>
      </c>
      <c r="AX26" s="28">
        <f t="shared" si="25"/>
        <v>311240.63802450564</v>
      </c>
      <c r="AY26" s="28">
        <f t="shared" si="25"/>
        <v>321615.32595865586</v>
      </c>
      <c r="AZ26" s="28">
        <f t="shared" si="25"/>
        <v>311240.63802450564</v>
      </c>
      <c r="BA26" s="59">
        <f t="shared" si="2"/>
        <v>3786761.0959648187</v>
      </c>
      <c r="BB26" s="124">
        <f>BA26/$BA$28</f>
        <v>0.2527783667034107</v>
      </c>
    </row>
    <row r="27" spans="1:54" s="22" customFormat="1">
      <c r="E27" s="358"/>
      <c r="F27" s="22" t="s">
        <v>433</v>
      </c>
      <c r="G27" s="28">
        <f>G21/(1-0.0305)</f>
        <v>159876.2248581743</v>
      </c>
      <c r="H27" s="28">
        <f t="shared" ref="H27:R27" si="26">H21/(1-0.0305)</f>
        <v>159876.2248581743</v>
      </c>
      <c r="I27" s="28">
        <f t="shared" si="26"/>
        <v>154718.92728210418</v>
      </c>
      <c r="J27" s="28">
        <f t="shared" si="26"/>
        <v>159876.2248581743</v>
      </c>
      <c r="K27" s="28">
        <f t="shared" si="26"/>
        <v>154718.92728210418</v>
      </c>
      <c r="L27" s="28">
        <f t="shared" si="26"/>
        <v>159876.2248581743</v>
      </c>
      <c r="M27" s="28">
        <f t="shared" si="26"/>
        <v>159876.2248581743</v>
      </c>
      <c r="N27" s="28">
        <f t="shared" si="26"/>
        <v>149561.62970603403</v>
      </c>
      <c r="O27" s="28">
        <f t="shared" si="26"/>
        <v>159876.2248581743</v>
      </c>
      <c r="P27" s="28">
        <f t="shared" si="26"/>
        <v>154718.92728210418</v>
      </c>
      <c r="Q27" s="28">
        <f t="shared" si="26"/>
        <v>159876.2248581743</v>
      </c>
      <c r="R27" s="28">
        <f t="shared" si="26"/>
        <v>154718.92728210418</v>
      </c>
      <c r="S27" s="131">
        <f t="shared" si="0"/>
        <v>1887570.9128416711</v>
      </c>
      <c r="T27" s="124">
        <f>S27/$S$28</f>
        <v>0.12560664280648245</v>
      </c>
      <c r="W27" s="22" t="s">
        <v>433</v>
      </c>
      <c r="X27" s="28">
        <f>X21/(1-0.0305)</f>
        <v>159876.2248581743</v>
      </c>
      <c r="Y27" s="28">
        <f t="shared" ref="Y27:AI27" si="27">Y21/(1-0.0305)</f>
        <v>159876.2248581743</v>
      </c>
      <c r="Z27" s="28">
        <f t="shared" si="27"/>
        <v>154718.92728210418</v>
      </c>
      <c r="AA27" s="28">
        <f t="shared" si="27"/>
        <v>159876.2248581743</v>
      </c>
      <c r="AB27" s="28">
        <f t="shared" si="27"/>
        <v>154718.92728210418</v>
      </c>
      <c r="AC27" s="28">
        <f t="shared" si="27"/>
        <v>159876.2248581743</v>
      </c>
      <c r="AD27" s="28">
        <f t="shared" si="27"/>
        <v>159876.2248581743</v>
      </c>
      <c r="AE27" s="28">
        <f t="shared" si="27"/>
        <v>144404.33212996391</v>
      </c>
      <c r="AF27" s="28">
        <f t="shared" si="27"/>
        <v>159876.2248581743</v>
      </c>
      <c r="AG27" s="28">
        <f t="shared" si="27"/>
        <v>154718.92728210418</v>
      </c>
      <c r="AH27" s="28">
        <f t="shared" si="27"/>
        <v>159876.2248581743</v>
      </c>
      <c r="AI27" s="28">
        <f t="shared" si="27"/>
        <v>154718.92728210418</v>
      </c>
      <c r="AJ27" s="59">
        <f t="shared" si="1"/>
        <v>1882413.6152656011</v>
      </c>
      <c r="AK27" s="124">
        <f>AJ27/$AJ$28</f>
        <v>0.125670359142944</v>
      </c>
      <c r="AN27" s="22" t="s">
        <v>433</v>
      </c>
      <c r="AO27" s="28">
        <f t="shared" ref="AO27:AZ27" si="28">AO21/(1-0.0305)</f>
        <v>159876.2248581743</v>
      </c>
      <c r="AP27" s="28">
        <f t="shared" si="28"/>
        <v>159876.2248581743</v>
      </c>
      <c r="AQ27" s="28">
        <f t="shared" si="28"/>
        <v>154718.92728210418</v>
      </c>
      <c r="AR27" s="28">
        <f t="shared" si="28"/>
        <v>159876.2248581743</v>
      </c>
      <c r="AS27" s="28">
        <f t="shared" si="28"/>
        <v>381640.02062919032</v>
      </c>
      <c r="AT27" s="28">
        <f t="shared" si="28"/>
        <v>226921.09334708613</v>
      </c>
      <c r="AU27" s="28">
        <f t="shared" si="28"/>
        <v>288808.66425992781</v>
      </c>
      <c r="AV27" s="28">
        <f t="shared" si="28"/>
        <v>242392.98607529653</v>
      </c>
      <c r="AW27" s="28">
        <f t="shared" si="28"/>
        <v>335224.34244455904</v>
      </c>
      <c r="AX27" s="28">
        <f t="shared" si="28"/>
        <v>154718.92728210418</v>
      </c>
      <c r="AY27" s="28">
        <f t="shared" si="28"/>
        <v>159876.2248581743</v>
      </c>
      <c r="AZ27" s="28">
        <f t="shared" si="28"/>
        <v>154718.92728210418</v>
      </c>
      <c r="BA27" s="59">
        <f t="shared" si="2"/>
        <v>2578648.7880350696</v>
      </c>
      <c r="BB27" s="124">
        <f>BA27/$BA$28</f>
        <v>0.17213302144564185</v>
      </c>
    </row>
    <row r="28" spans="1:54" s="59" customFormat="1">
      <c r="E28" s="359"/>
      <c r="F28" s="59" t="s">
        <v>393</v>
      </c>
      <c r="G28" s="131">
        <f>SUM(G25:G27)</f>
        <v>1284170.1148935261</v>
      </c>
      <c r="H28" s="131">
        <f t="shared" ref="H28:R28" si="29">SUM(H25:H27)</f>
        <v>1284170.1148935261</v>
      </c>
      <c r="I28" s="131">
        <f t="shared" si="29"/>
        <v>1126394.0816212913</v>
      </c>
      <c r="J28" s="131">
        <f t="shared" si="29"/>
        <v>1046960.4347963729</v>
      </c>
      <c r="K28" s="131">
        <f t="shared" si="29"/>
        <v>1205009.7511188013</v>
      </c>
      <c r="L28" s="131">
        <f t="shared" si="29"/>
        <v>1407649.1264509484</v>
      </c>
      <c r="M28" s="131">
        <f t="shared" si="29"/>
        <v>1407649.1264509484</v>
      </c>
      <c r="N28" s="131">
        <f t="shared" si="29"/>
        <v>1316833.0537766935</v>
      </c>
      <c r="O28" s="131">
        <f t="shared" si="29"/>
        <v>1245176.7428227612</v>
      </c>
      <c r="P28" s="131">
        <f t="shared" si="29"/>
        <v>1164129.6029800961</v>
      </c>
      <c r="Q28" s="131">
        <f t="shared" si="29"/>
        <v>1284170.1148935261</v>
      </c>
      <c r="R28" s="131">
        <f t="shared" si="29"/>
        <v>1255323.7795972077</v>
      </c>
      <c r="S28" s="143">
        <f t="shared" si="0"/>
        <v>15027636.0442957</v>
      </c>
      <c r="T28" s="168">
        <f>SUM(T25:T27)</f>
        <v>1</v>
      </c>
      <c r="W28" s="59" t="s">
        <v>393</v>
      </c>
      <c r="X28" s="131">
        <f>SUM(X25:X27)</f>
        <v>1284170.1148935261</v>
      </c>
      <c r="Y28" s="131">
        <f t="shared" ref="Y28:AI28" si="30">SUM(Y25:Y27)</f>
        <v>1284170.1148935261</v>
      </c>
      <c r="Z28" s="131">
        <f t="shared" si="30"/>
        <v>1126394.0816212913</v>
      </c>
      <c r="AA28" s="131">
        <f t="shared" si="30"/>
        <v>1046960.4347963729</v>
      </c>
      <c r="AB28" s="131">
        <f t="shared" si="30"/>
        <v>1205009.7511188013</v>
      </c>
      <c r="AC28" s="131">
        <f t="shared" si="30"/>
        <v>1407649.1264509484</v>
      </c>
      <c r="AD28" s="131">
        <f t="shared" si="30"/>
        <v>1407649.1264509484</v>
      </c>
      <c r="AE28" s="131">
        <f t="shared" si="30"/>
        <v>1271425.0174395663</v>
      </c>
      <c r="AF28" s="131">
        <f t="shared" si="30"/>
        <v>1241927.2951501976</v>
      </c>
      <c r="AG28" s="131">
        <f t="shared" si="30"/>
        <v>1164129.6029800961</v>
      </c>
      <c r="AH28" s="131">
        <f t="shared" si="30"/>
        <v>1284170.1148935261</v>
      </c>
      <c r="AI28" s="131">
        <f t="shared" si="30"/>
        <v>1255323.7795972077</v>
      </c>
      <c r="AJ28" s="143">
        <f t="shared" si="1"/>
        <v>14978978.56028601</v>
      </c>
      <c r="AK28" s="168">
        <f>SUM(AK25:AK27)</f>
        <v>1</v>
      </c>
      <c r="AN28" s="59" t="s">
        <v>393</v>
      </c>
      <c r="AO28" s="131">
        <f>SUM(AO25:AO27)</f>
        <v>1284170.1148935261</v>
      </c>
      <c r="AP28" s="131">
        <f t="shared" ref="AP28:AZ28" si="31">SUM(AP25:AP27)</f>
        <v>1284170.1148935261</v>
      </c>
      <c r="AQ28" s="131">
        <f t="shared" si="31"/>
        <v>1126394.0816212913</v>
      </c>
      <c r="AR28" s="131">
        <f t="shared" si="31"/>
        <v>1592029.0766457752</v>
      </c>
      <c r="AS28" s="131">
        <f t="shared" si="31"/>
        <v>1473859.201531226</v>
      </c>
      <c r="AT28" s="131">
        <f t="shared" si="31"/>
        <v>987276.84405529872</v>
      </c>
      <c r="AU28" s="131">
        <f t="shared" si="31"/>
        <v>1180190.5307973237</v>
      </c>
      <c r="AV28" s="131">
        <f t="shared" si="31"/>
        <v>992058.45779685117</v>
      </c>
      <c r="AW28" s="131">
        <f t="shared" si="31"/>
        <v>1273775.6106804609</v>
      </c>
      <c r="AX28" s="131">
        <f t="shared" si="31"/>
        <v>1203169.0333510973</v>
      </c>
      <c r="AY28" s="131">
        <f t="shared" si="31"/>
        <v>1296093.0511862328</v>
      </c>
      <c r="AZ28" s="131">
        <f t="shared" si="31"/>
        <v>1287372.3272812767</v>
      </c>
      <c r="BA28" s="59">
        <f t="shared" si="2"/>
        <v>14980558.444733888</v>
      </c>
    </row>
    <row r="29" spans="1:54" s="22" customFormat="1">
      <c r="E29" s="358"/>
      <c r="F29" s="59" t="s">
        <v>437</v>
      </c>
      <c r="G29" s="131">
        <f>G28-G39</f>
        <v>164186.02717422764</v>
      </c>
      <c r="H29" s="131">
        <f t="shared" ref="H29:R29" si="32">H28-H39</f>
        <v>249604.20261282427</v>
      </c>
      <c r="I29" s="131">
        <f t="shared" si="32"/>
        <v>125770.65188906598</v>
      </c>
      <c r="J29" s="131">
        <f t="shared" si="32"/>
        <v>-258362.21765053412</v>
      </c>
      <c r="K29" s="231">
        <f t="shared" si="32"/>
        <v>-331508.62450446771</v>
      </c>
      <c r="L29" s="231">
        <f t="shared" si="32"/>
        <v>-313556.59931082465</v>
      </c>
      <c r="M29" s="231">
        <f t="shared" si="32"/>
        <v>-251551.74372449052</v>
      </c>
      <c r="N29" s="231">
        <f t="shared" si="32"/>
        <v>-214261.30947353784</v>
      </c>
      <c r="O29" s="231">
        <f t="shared" si="32"/>
        <v>-280247.33935637097</v>
      </c>
      <c r="P29" s="131">
        <f t="shared" si="32"/>
        <v>-267892.46904206485</v>
      </c>
      <c r="Q29" s="131">
        <f t="shared" si="32"/>
        <v>70629.365493710618</v>
      </c>
      <c r="R29" s="131">
        <f t="shared" si="32"/>
        <v>196785.5829213073</v>
      </c>
      <c r="S29" s="131">
        <f t="shared" si="0"/>
        <v>-1110404.4729711548</v>
      </c>
      <c r="W29" s="59" t="s">
        <v>437</v>
      </c>
      <c r="X29" s="28">
        <f>X28-X39</f>
        <v>235752.75445031282</v>
      </c>
      <c r="Y29" s="28">
        <f t="shared" ref="Y29:AI29" si="33">Y28-Y39</f>
        <v>192113.95409943559</v>
      </c>
      <c r="Z29" s="28">
        <f t="shared" si="33"/>
        <v>110474.93273855816</v>
      </c>
      <c r="AA29" s="28">
        <f t="shared" si="33"/>
        <v>-309002.00575764431</v>
      </c>
      <c r="AB29" s="212">
        <f t="shared" si="33"/>
        <v>-485691.8407556219</v>
      </c>
      <c r="AC29" s="212">
        <f t="shared" si="33"/>
        <v>-193195.01958783297</v>
      </c>
      <c r="AD29" s="212">
        <f t="shared" si="33"/>
        <v>-293226.70890454552</v>
      </c>
      <c r="AE29" s="212">
        <f t="shared" si="33"/>
        <v>-127240.31003965833</v>
      </c>
      <c r="AF29" s="212">
        <f t="shared" si="33"/>
        <v>-267389.27773992298</v>
      </c>
      <c r="AG29" s="28">
        <f t="shared" si="33"/>
        <v>-437132.23175674607</v>
      </c>
      <c r="AH29" s="28">
        <f t="shared" si="33"/>
        <v>11453.494265640387</v>
      </c>
      <c r="AI29" s="28">
        <f t="shared" si="33"/>
        <v>150850.34456488979</v>
      </c>
      <c r="AJ29" s="59">
        <f t="shared" si="1"/>
        <v>-1412231.9144231353</v>
      </c>
      <c r="AN29" s="59" t="s">
        <v>437</v>
      </c>
      <c r="AO29" s="28">
        <f>AO28-AO39</f>
        <v>213693.45435797656</v>
      </c>
      <c r="AP29" s="28">
        <f t="shared" ref="AP29:AZ29" si="34">AP28-AP39</f>
        <v>169268.68909481866</v>
      </c>
      <c r="AQ29" s="28">
        <f t="shared" si="34"/>
        <v>97861.094880755758</v>
      </c>
      <c r="AR29" s="28">
        <f t="shared" si="34"/>
        <v>206065.96425426984</v>
      </c>
      <c r="AS29" s="28">
        <f t="shared" si="34"/>
        <v>-246374.75303941127</v>
      </c>
      <c r="AT29" s="28">
        <f t="shared" si="34"/>
        <v>-662019.04713583738</v>
      </c>
      <c r="AU29" s="28">
        <f t="shared" si="34"/>
        <v>-570955.68535226141</v>
      </c>
      <c r="AV29" s="28">
        <f t="shared" si="34"/>
        <v>-438893.60652447864</v>
      </c>
      <c r="AW29" s="28">
        <f t="shared" si="34"/>
        <v>-266453.02869165386</v>
      </c>
      <c r="AX29" s="28">
        <f t="shared" si="34"/>
        <v>-421095.80784927215</v>
      </c>
      <c r="AY29" s="28">
        <f t="shared" si="34"/>
        <v>2227.8196626871359</v>
      </c>
      <c r="AZ29" s="28">
        <f t="shared" si="34"/>
        <v>169737.5330615167</v>
      </c>
      <c r="BA29" s="59">
        <f t="shared" si="2"/>
        <v>-1746937.3732808901</v>
      </c>
    </row>
    <row r="30" spans="1:54" s="22" customFormat="1">
      <c r="E30" s="358"/>
      <c r="F30" s="59" t="s">
        <v>752</v>
      </c>
      <c r="G30" s="124">
        <f>G29/G28</f>
        <v>0.12785379855054541</v>
      </c>
      <c r="H30" s="124">
        <f>H29/H28</f>
        <v>0.19437004468330865</v>
      </c>
      <c r="I30" s="124">
        <f>I29/I28</f>
        <v>0.11165777052737724</v>
      </c>
      <c r="J30" s="124">
        <f t="shared" ref="J30:R30" si="35">J29/J28</f>
        <v>-0.24677362110707068</v>
      </c>
      <c r="K30" s="124">
        <f t="shared" si="35"/>
        <v>-0.27510866546654561</v>
      </c>
      <c r="L30" s="124">
        <f t="shared" si="35"/>
        <v>-0.22275195815407695</v>
      </c>
      <c r="M30" s="124">
        <f t="shared" si="35"/>
        <v>-0.17870344178646155</v>
      </c>
      <c r="N30" s="124">
        <f t="shared" si="35"/>
        <v>-0.16270954686247718</v>
      </c>
      <c r="O30" s="124">
        <f t="shared" si="35"/>
        <v>-0.22506631365525068</v>
      </c>
      <c r="P30" s="124">
        <f t="shared" si="35"/>
        <v>-0.23012254679915153</v>
      </c>
      <c r="Q30" s="124">
        <f t="shared" si="35"/>
        <v>5.5000007144354615E-2</v>
      </c>
      <c r="R30" s="124">
        <f t="shared" si="35"/>
        <v>0.15676081830015948</v>
      </c>
      <c r="S30" s="140">
        <f>S29/S28</f>
        <v>-7.3890828184693114E-2</v>
      </c>
    </row>
    <row r="31" spans="1:54" s="22" customFormat="1">
      <c r="E31" s="358"/>
      <c r="G31" s="124"/>
      <c r="S31" s="131"/>
    </row>
    <row r="32" spans="1:54" s="105" customFormat="1">
      <c r="A32" s="108"/>
      <c r="B32" s="108"/>
      <c r="C32" s="108"/>
      <c r="D32" s="108"/>
      <c r="E32" s="358"/>
      <c r="F32" s="108" t="s">
        <v>89</v>
      </c>
      <c r="G32" s="107">
        <f>+FSS!C8</f>
        <v>364371</v>
      </c>
      <c r="H32" s="107">
        <f>+FSS!D8</f>
        <v>299698</v>
      </c>
      <c r="I32" s="107">
        <f>+FSS!E8</f>
        <v>204602</v>
      </c>
      <c r="J32" s="107">
        <f>+FSS!F8</f>
        <v>67934</v>
      </c>
      <c r="K32" s="107">
        <f>+FSS!G13</f>
        <v>-119670</v>
      </c>
      <c r="L32" s="107">
        <f>+FSS!H13</f>
        <v>-367729</v>
      </c>
      <c r="M32" s="107">
        <f>+FSS!I13</f>
        <v>-748251</v>
      </c>
      <c r="N32" s="107">
        <f>+FSS!J13</f>
        <v>-448909</v>
      </c>
      <c r="O32" s="107">
        <f>+FSS!K13</f>
        <v>-261645</v>
      </c>
      <c r="P32" s="107">
        <f>+FSS!L8</f>
        <v>248014</v>
      </c>
      <c r="Q32" s="107">
        <f>+FSS!M8</f>
        <v>284426</v>
      </c>
      <c r="R32" s="107">
        <f>+FSS!N8</f>
        <v>288287</v>
      </c>
      <c r="S32" s="107"/>
      <c r="W32" s="108" t="s">
        <v>89</v>
      </c>
      <c r="X32" s="107">
        <f>+FSS!O8</f>
        <v>330991.92</v>
      </c>
      <c r="Y32" s="107">
        <f>+FSS!P8</f>
        <v>358574.58</v>
      </c>
      <c r="Z32" s="107">
        <f>+FSS!Q8</f>
        <v>220661.28</v>
      </c>
      <c r="AA32" s="107">
        <f>+FSS!R8</f>
        <v>110330.64</v>
      </c>
      <c r="AB32" s="107">
        <f>+FSS!S13</f>
        <v>0</v>
      </c>
      <c r="AC32" s="107">
        <f>+FSS!T13</f>
        <v>-579235.86</v>
      </c>
      <c r="AD32" s="107">
        <f>+FSS!U13</f>
        <v>-634401.18000000005</v>
      </c>
      <c r="AE32" s="107">
        <f>+FSS!V13</f>
        <v>-524070.54</v>
      </c>
      <c r="AF32" s="107">
        <f>+FSS!W13</f>
        <v>-275826.60000000003</v>
      </c>
      <c r="AG32" s="107">
        <f>+FSS!X8</f>
        <v>248243.94</v>
      </c>
      <c r="AH32" s="107">
        <f>+FSS!Y8</f>
        <v>358574.58</v>
      </c>
      <c r="AI32" s="107">
        <f>+FSS!Z8</f>
        <v>358574.58</v>
      </c>
      <c r="AJ32" s="107"/>
      <c r="AN32" s="108" t="s">
        <v>89</v>
      </c>
      <c r="AO32" s="107">
        <f>+FSS!AA8</f>
        <v>330991.92</v>
      </c>
      <c r="AP32" s="107">
        <f>+FSS!AB8</f>
        <v>358574.58</v>
      </c>
      <c r="AQ32" s="107">
        <f>+FSS!AC8</f>
        <v>220661.28</v>
      </c>
      <c r="AR32" s="107">
        <f>+FSS!AD8</f>
        <v>110330.64</v>
      </c>
      <c r="AS32" s="107">
        <f>+FSS!AE13</f>
        <v>0</v>
      </c>
      <c r="AT32" s="107">
        <f>+FSS!AF13</f>
        <v>-579235.86</v>
      </c>
      <c r="AU32" s="107">
        <f>+FSS!AG13</f>
        <v>-634401.18000000005</v>
      </c>
      <c r="AV32" s="107">
        <f>+FSS!AH13</f>
        <v>-524070.54</v>
      </c>
      <c r="AW32" s="107">
        <f>+FSS!AI13</f>
        <v>-275826.60000000003</v>
      </c>
      <c r="AX32" s="107">
        <f>+FSS!AJ8</f>
        <v>248243.94</v>
      </c>
      <c r="AY32" s="107">
        <f>+FSS!AK8</f>
        <v>358574.58</v>
      </c>
      <c r="AZ32" s="107">
        <f>+FSS!AL8</f>
        <v>358574.58</v>
      </c>
      <c r="BA32" s="107"/>
    </row>
    <row r="33" spans="1:53">
      <c r="F33" s="10" t="s">
        <v>214</v>
      </c>
      <c r="G33" s="28">
        <f>SUM('GSS-09'!C6,'GSS-97'!C6,'GSS-62'!C6)</f>
        <v>197994</v>
      </c>
      <c r="H33" s="28">
        <f>SUM('GSS-09'!D6,'GSS-97'!D6,'GSS-62'!D6)</f>
        <v>166919</v>
      </c>
      <c r="I33" s="28">
        <f>SUM('GSS-09'!E6,'GSS-97'!E6,'GSS-62'!E6)</f>
        <v>161526</v>
      </c>
      <c r="J33" s="28">
        <f>SUM('GSS-09'!F6,'GSS-97'!F6,'GSS-62'!F6)</f>
        <v>166839</v>
      </c>
      <c r="K33" s="107">
        <f>SUM('GSS-09'!G11,'GSS-97'!G11,'GSS-62'!G11)</f>
        <v>-9942</v>
      </c>
      <c r="L33" s="107">
        <f>SUM('GSS-09'!H11,'GSS-97'!H11,'GSS-62'!H11)</f>
        <v>-377964</v>
      </c>
      <c r="M33" s="107">
        <f>SUM('GSS-09'!I11,'GSS-97'!I11,'GSS-62'!I11)</f>
        <v>-290317</v>
      </c>
      <c r="N33" s="107">
        <f>SUM('GSS-09'!J11,'GSS-97'!J11,'GSS-62'!J11)</f>
        <v>-276644</v>
      </c>
      <c r="O33" s="107">
        <f>SUM('GSS-09'!K11,'GSS-97'!K11,'GSS-62'!K11)</f>
        <v>-46464</v>
      </c>
      <c r="P33" s="28">
        <f>SUM('GSS-09'!L6,'GSS-97'!L6,'GSS-62'!L6)</f>
        <v>5842</v>
      </c>
      <c r="Q33" s="28">
        <f>SUM('GSS-09'!M6,'GSS-97'!M6,'GSS-62'!M6)</f>
        <v>190144</v>
      </c>
      <c r="R33" s="28">
        <f>SUM('GSS-09'!N6,'GSS-97'!N6,'GSS-62'!N6)</f>
        <v>188498</v>
      </c>
      <c r="S33" s="107"/>
      <c r="W33" s="10" t="s">
        <v>214</v>
      </c>
      <c r="X33" s="28">
        <f>SUM('GSS-09'!O6,'GSS-97'!O6,'GSS-62'!O6)</f>
        <v>155000</v>
      </c>
      <c r="Y33" s="28">
        <f>SUM('GSS-09'!P6,'GSS-97'!P6,'GSS-62'!P6)</f>
        <v>155000</v>
      </c>
      <c r="Z33" s="28">
        <f>SUM('GSS-09'!Q6,'GSS-97'!Q6,'GSS-62'!Q6)</f>
        <v>150000</v>
      </c>
      <c r="AA33" s="28">
        <f>SUM('GSS-09'!R6,'GSS-97'!R6,'GSS-62'!R6)</f>
        <v>155000</v>
      </c>
      <c r="AB33" s="107">
        <f>SUM('GSS-09'!S11,'GSS-97'!S11,'GSS-62'!S11)</f>
        <v>0</v>
      </c>
      <c r="AC33" s="107">
        <f>SUM('GSS-09'!T10,'GSS-97'!T11,'GSS-62'!T11)</f>
        <v>-317278.62</v>
      </c>
      <c r="AD33" s="107">
        <f>SUM('GSS-09'!U11,'GSS-97'!U11,'GSS-62'!U11)</f>
        <v>-395358.39</v>
      </c>
      <c r="AE33" s="107">
        <f>SUM('GSS-09'!V11,'GSS-97'!V11,'GSS-62'!V11)</f>
        <v>-316825.44</v>
      </c>
      <c r="AF33" s="107">
        <f>SUM('GSS-09'!W11,'GSS-97'!W11,'GSS-62'!W11)</f>
        <v>-75012.72</v>
      </c>
      <c r="AG33" s="28">
        <f>SUM('GSS-09'!X6,'GSS-97'!X6,'GSS-62'!X6)</f>
        <v>154500</v>
      </c>
      <c r="AH33" s="28">
        <f>SUM('GSS-09'!Y6,'GSS-97'!Y6,'GSS-62'!Y6)</f>
        <v>159650</v>
      </c>
      <c r="AI33" s="28">
        <f>SUM('GSS-09'!Z6,'GSS-97'!Z6,'GSS-62'!Z6)</f>
        <v>154500</v>
      </c>
      <c r="AJ33" s="107"/>
      <c r="AN33" s="10" t="s">
        <v>214</v>
      </c>
      <c r="AO33" s="28">
        <f>SUM('GSS-09'!AA6,'GSS-97'!AA6,'GSS-62'!AA6)</f>
        <v>159650</v>
      </c>
      <c r="AP33" s="28">
        <f>SUM('GSS-09'!AB6,'GSS-97'!AB6,'GSS-62'!AB6)</f>
        <v>159650</v>
      </c>
      <c r="AQ33" s="28">
        <f>SUM('GSS-09'!AC6,'GSS-97'!AC6,'GSS-62'!AC6)</f>
        <v>154500</v>
      </c>
      <c r="AR33" s="28">
        <f>SUM('GSS-09'!AD6,'GSS-97'!AD6,'GSS-62'!AD6)</f>
        <v>159650</v>
      </c>
      <c r="AS33" s="28">
        <f>SUM('GSS-09'!AE6,'GSS-97'!AE6,'GSS-62'!AE6)</f>
        <v>0</v>
      </c>
      <c r="AT33" s="107">
        <f>SUM('GSS-09'!AF11,'GSS-97'!AF11,'GSS-62'!AF11)</f>
        <v>-317278.62</v>
      </c>
      <c r="AU33" s="107">
        <f>SUM('GSS-09'!AG11,'GSS-97'!AG11,'GSS-62'!AG11)</f>
        <v>-395358.39</v>
      </c>
      <c r="AV33" s="107">
        <f>SUM('GSS-09'!AH11,'GSS-97'!AH11,'GSS-62'!AH11)</f>
        <v>-316825.44</v>
      </c>
      <c r="AW33" s="107">
        <f>SUM('GSS-09'!AI11,'GSS-97'!AI11,'GSS-62'!AI11)</f>
        <v>-75012.72</v>
      </c>
      <c r="AX33" s="28">
        <f>SUM('GSS-09'!AJ6,'GSS-97'!AJ6,'GSS-62'!AJ6)</f>
        <v>154500</v>
      </c>
      <c r="AY33" s="28">
        <f>SUM('GSS-09'!AK6,'GSS-97'!AK6,'GSS-62'!AK6)</f>
        <v>159650</v>
      </c>
      <c r="AZ33" s="28">
        <f>SUM('GSS-09'!AL6,'GSS-97'!AL6,'GSS-62'!AL6)</f>
        <v>154500</v>
      </c>
      <c r="BA33" s="107"/>
    </row>
    <row r="34" spans="1:53" s="210" customFormat="1">
      <c r="A34" s="209"/>
      <c r="B34" s="209"/>
      <c r="C34" s="209"/>
      <c r="D34" s="209"/>
      <c r="E34" s="359"/>
      <c r="F34" s="209" t="s">
        <v>90</v>
      </c>
      <c r="G34" s="211">
        <f t="shared" ref="G34:P34" si="36">SUM(G32:G33)</f>
        <v>562365</v>
      </c>
      <c r="H34" s="211">
        <f t="shared" si="36"/>
        <v>466617</v>
      </c>
      <c r="I34" s="211">
        <f t="shared" si="36"/>
        <v>366128</v>
      </c>
      <c r="J34" s="211">
        <f t="shared" si="36"/>
        <v>234773</v>
      </c>
      <c r="K34" s="211">
        <f t="shared" si="36"/>
        <v>-129612</v>
      </c>
      <c r="L34" s="211">
        <f>SUM(L32:L33)</f>
        <v>-745693</v>
      </c>
      <c r="M34" s="211">
        <f>SUM(M32:M33)</f>
        <v>-1038568</v>
      </c>
      <c r="N34" s="211">
        <f>SUM(N32:N33)</f>
        <v>-725553</v>
      </c>
      <c r="O34" s="211">
        <f>SUM(O32:O33)</f>
        <v>-308109</v>
      </c>
      <c r="P34" s="211">
        <f t="shared" si="36"/>
        <v>253856</v>
      </c>
      <c r="Q34" s="211">
        <f>SUM(Q32:Q33)</f>
        <v>474570</v>
      </c>
      <c r="R34" s="211">
        <f>SUM(R32:R33)</f>
        <v>476785</v>
      </c>
      <c r="S34" s="211"/>
      <c r="W34" s="209" t="s">
        <v>90</v>
      </c>
      <c r="X34" s="211">
        <f t="shared" ref="X34:AI34" si="37">SUM(X32:X33)</f>
        <v>485991.92</v>
      </c>
      <c r="Y34" s="211">
        <f t="shared" si="37"/>
        <v>513574.58</v>
      </c>
      <c r="Z34" s="211">
        <f t="shared" si="37"/>
        <v>370661.28</v>
      </c>
      <c r="AA34" s="211">
        <f t="shared" si="37"/>
        <v>265330.64</v>
      </c>
      <c r="AB34" s="211">
        <f t="shared" si="37"/>
        <v>0</v>
      </c>
      <c r="AC34" s="211">
        <f t="shared" si="37"/>
        <v>-896514.48</v>
      </c>
      <c r="AD34" s="211">
        <f t="shared" si="37"/>
        <v>-1029759.5700000001</v>
      </c>
      <c r="AE34" s="211">
        <f t="shared" si="37"/>
        <v>-840895.98</v>
      </c>
      <c r="AF34" s="211">
        <f t="shared" si="37"/>
        <v>-350839.32000000007</v>
      </c>
      <c r="AG34" s="211">
        <f t="shared" si="37"/>
        <v>402743.94</v>
      </c>
      <c r="AH34" s="211">
        <f t="shared" si="37"/>
        <v>518224.58</v>
      </c>
      <c r="AI34" s="211">
        <f t="shared" si="37"/>
        <v>513074.58</v>
      </c>
      <c r="AJ34" s="211"/>
      <c r="AN34" s="209" t="s">
        <v>90</v>
      </c>
      <c r="AO34" s="211">
        <f t="shared" ref="AO34:AZ34" si="38">SUM(AO32:AO33)</f>
        <v>490641.91999999998</v>
      </c>
      <c r="AP34" s="211">
        <f t="shared" si="38"/>
        <v>518224.58</v>
      </c>
      <c r="AQ34" s="211">
        <f t="shared" si="38"/>
        <v>375161.28</v>
      </c>
      <c r="AR34" s="211">
        <f t="shared" si="38"/>
        <v>269980.64</v>
      </c>
      <c r="AS34" s="211">
        <f t="shared" si="38"/>
        <v>0</v>
      </c>
      <c r="AT34" s="211">
        <f t="shared" si="38"/>
        <v>-896514.48</v>
      </c>
      <c r="AU34" s="211">
        <f t="shared" si="38"/>
        <v>-1029759.5700000001</v>
      </c>
      <c r="AV34" s="211">
        <f t="shared" si="38"/>
        <v>-840895.98</v>
      </c>
      <c r="AW34" s="211">
        <f t="shared" si="38"/>
        <v>-350839.32000000007</v>
      </c>
      <c r="AX34" s="211">
        <f t="shared" si="38"/>
        <v>402743.94</v>
      </c>
      <c r="AY34" s="211">
        <f t="shared" si="38"/>
        <v>518224.58</v>
      </c>
      <c r="AZ34" s="211">
        <f t="shared" si="38"/>
        <v>513074.58</v>
      </c>
      <c r="BA34" s="211"/>
    </row>
    <row r="35" spans="1:53" s="210" customFormat="1">
      <c r="A35" s="209"/>
      <c r="B35" s="209"/>
      <c r="C35" s="209"/>
      <c r="D35" s="209"/>
      <c r="E35" s="359"/>
      <c r="F35" s="209" t="s">
        <v>465</v>
      </c>
      <c r="G35" s="211"/>
      <c r="H35" s="211"/>
      <c r="I35" s="211"/>
      <c r="J35" s="211"/>
      <c r="K35" s="211"/>
      <c r="L35" s="204"/>
      <c r="M35" s="204"/>
      <c r="N35" s="204"/>
      <c r="O35" s="204"/>
      <c r="P35" s="211"/>
      <c r="Q35" s="211"/>
      <c r="R35" s="211"/>
      <c r="S35" s="211"/>
      <c r="W35" s="209"/>
      <c r="X35" s="211"/>
      <c r="Y35" s="211"/>
      <c r="Z35" s="211"/>
      <c r="AA35" s="211"/>
      <c r="AB35" s="211"/>
      <c r="AC35" s="211"/>
      <c r="AD35" s="211"/>
      <c r="AE35" s="211"/>
      <c r="AF35" s="211"/>
      <c r="AG35" s="211"/>
      <c r="AH35" s="211"/>
      <c r="AI35" s="211"/>
      <c r="AJ35" s="211"/>
      <c r="AN35" s="209"/>
      <c r="AO35" s="211"/>
      <c r="AP35" s="211"/>
      <c r="AQ35" s="211"/>
      <c r="AR35" s="211"/>
      <c r="AS35" s="211"/>
      <c r="AT35" s="211"/>
      <c r="AU35" s="211"/>
      <c r="AV35" s="211"/>
      <c r="AW35" s="211"/>
      <c r="AX35" s="211"/>
      <c r="AY35" s="211"/>
      <c r="AZ35" s="211"/>
      <c r="BA35" s="211"/>
    </row>
    <row r="36" spans="1:53" s="210" customFormat="1">
      <c r="A36" s="209"/>
      <c r="B36" s="209"/>
      <c r="C36" s="209"/>
      <c r="D36" s="209"/>
      <c r="E36" s="359"/>
      <c r="F36" s="209" t="s">
        <v>466</v>
      </c>
      <c r="G36" s="211"/>
      <c r="H36" s="211"/>
      <c r="I36" s="211"/>
      <c r="J36" s="211"/>
      <c r="K36" s="211"/>
      <c r="L36" s="190"/>
      <c r="M36" s="190"/>
      <c r="N36" s="190"/>
      <c r="O36" s="190"/>
      <c r="P36" s="211"/>
      <c r="Q36" s="211"/>
      <c r="R36" s="211"/>
      <c r="S36" s="190"/>
      <c r="W36" s="209"/>
      <c r="X36" s="211"/>
      <c r="Y36" s="211"/>
      <c r="Z36" s="211"/>
      <c r="AA36" s="211"/>
      <c r="AB36" s="211"/>
      <c r="AC36" s="211"/>
      <c r="AD36" s="211"/>
      <c r="AE36" s="211"/>
      <c r="AF36" s="211"/>
      <c r="AG36" s="211"/>
      <c r="AH36" s="211"/>
      <c r="AI36" s="211"/>
      <c r="AJ36" s="211"/>
      <c r="AN36" s="209"/>
      <c r="AO36" s="211"/>
      <c r="AP36" s="211"/>
      <c r="AQ36" s="211"/>
      <c r="AR36" s="211"/>
      <c r="AS36" s="211"/>
      <c r="AT36" s="211"/>
      <c r="AU36" s="211"/>
      <c r="AV36" s="211"/>
      <c r="AW36" s="211"/>
      <c r="AX36" s="211"/>
      <c r="AY36" s="211"/>
      <c r="AZ36" s="211"/>
      <c r="BA36" s="211"/>
    </row>
    <row r="37" spans="1:53" s="210" customFormat="1">
      <c r="A37" s="209"/>
      <c r="B37" s="209"/>
      <c r="C37" s="209"/>
      <c r="D37" s="209"/>
      <c r="E37" s="359"/>
      <c r="F37" s="209"/>
      <c r="G37" s="211">
        <f>G39-'[5]FT GAS'!X39</f>
        <v>78443.181864663959</v>
      </c>
      <c r="H37" s="211">
        <f>H39-'[5]FT GAS'!Y39</f>
        <v>-23105.021994985174</v>
      </c>
      <c r="I37" s="211">
        <f>I39-'[5]FT GAS'!Z39</f>
        <v>54202.14609088935</v>
      </c>
      <c r="J37" s="211">
        <f>J39-'[5]FT GAS'!AA39</f>
        <v>-141648.46851627296</v>
      </c>
      <c r="K37" s="211">
        <f>K39-'[5]FT GAS'!AB39</f>
        <v>-220534.55924503645</v>
      </c>
      <c r="L37" s="211">
        <f>L39-'[5]FT GAS'!AC39</f>
        <v>121813.8136343942</v>
      </c>
      <c r="M37" s="211">
        <f>M39-'[5]FT GAS'!AD39</f>
        <v>-115052.14319157996</v>
      </c>
      <c r="N37" s="211">
        <f>N39-'[5]FT GAS'!AE39</f>
        <v>43318.534209312405</v>
      </c>
      <c r="O37" s="211">
        <f>O39-'[5]FT GAS'!AF39</f>
        <v>-28560.93547174288</v>
      </c>
      <c r="P37" s="211">
        <f>P39-'[5]FT GAS'!AG39</f>
        <v>-201910.12543667736</v>
      </c>
      <c r="Q37" s="211">
        <f>Q39-'[5]FT GAS'!AH39</f>
        <v>-75323.34025169746</v>
      </c>
      <c r="R37" s="211">
        <f>R39-'[5]FT GAS'!AI39</f>
        <v>8841.9608686421998</v>
      </c>
      <c r="S37" s="211">
        <f>SUM(G37:R37)</f>
        <v>-499514.95744009013</v>
      </c>
      <c r="W37" s="209"/>
      <c r="X37" s="211"/>
      <c r="Y37" s="211"/>
      <c r="Z37" s="211"/>
      <c r="AA37" s="211"/>
      <c r="AB37" s="211"/>
      <c r="AC37" s="211"/>
      <c r="AD37" s="211"/>
      <c r="AE37" s="211"/>
      <c r="AF37" s="211"/>
      <c r="AG37" s="211"/>
      <c r="AH37" s="211"/>
      <c r="AI37" s="211"/>
      <c r="AJ37" s="211"/>
      <c r="AN37" s="209"/>
      <c r="AO37" s="211"/>
      <c r="AP37" s="211"/>
      <c r="AQ37" s="211"/>
      <c r="AR37" s="211"/>
      <c r="AS37" s="211"/>
      <c r="AT37" s="211"/>
      <c r="AU37" s="211"/>
      <c r="AV37" s="211"/>
      <c r="AW37" s="211"/>
      <c r="AX37" s="211"/>
      <c r="AY37" s="211"/>
      <c r="AZ37" s="211"/>
      <c r="BA37" s="211"/>
    </row>
    <row r="38" spans="1:53">
      <c r="F38" s="11" t="s">
        <v>759</v>
      </c>
      <c r="G38" s="124">
        <f>G39/$S$39</f>
        <v>6.9400252559842959E-2</v>
      </c>
      <c r="H38" s="124">
        <f>H39/$S$39</f>
        <v>6.4107281870668914E-2</v>
      </c>
      <c r="I38" s="124">
        <f>I39/$S$39</f>
        <v>6.2004022648326537E-2</v>
      </c>
      <c r="J38" s="124">
        <f>J39/$S$39</f>
        <v>8.0884829298221203E-2</v>
      </c>
      <c r="K38" s="124">
        <f t="shared" ref="K38:R38" si="39">K39/$S$39</f>
        <v>9.521096281666136E-2</v>
      </c>
      <c r="L38" s="124">
        <f t="shared" si="39"/>
        <v>0.10665518678802259</v>
      </c>
      <c r="M38" s="124">
        <f t="shared" si="39"/>
        <v>0.10281303163170158</v>
      </c>
      <c r="N38" s="124">
        <f t="shared" si="39"/>
        <v>9.4874861766026733E-2</v>
      </c>
      <c r="O38" s="124">
        <f t="shared" si="39"/>
        <v>9.4523500579082612E-2</v>
      </c>
      <c r="P38" s="124">
        <f t="shared" si="39"/>
        <v>8.8735808445267725E-2</v>
      </c>
      <c r="Q38" s="124">
        <f t="shared" si="39"/>
        <v>7.5197527735872932E-2</v>
      </c>
      <c r="R38" s="124">
        <f t="shared" si="39"/>
        <v>6.55927338603048E-2</v>
      </c>
      <c r="S38" s="128">
        <f>SUM(G38:R38)</f>
        <v>1</v>
      </c>
      <c r="AJ38" s="10"/>
      <c r="BA38" s="10"/>
    </row>
    <row r="39" spans="1:53" s="59" customFormat="1">
      <c r="E39" s="359"/>
      <c r="F39" s="59" t="s">
        <v>434</v>
      </c>
      <c r="G39" s="59">
        <f t="shared" ref="G39:R39" si="40">SUM(G7,G34)</f>
        <v>1119984.0877192984</v>
      </c>
      <c r="H39" s="59">
        <f t="shared" si="40"/>
        <v>1034565.9122807018</v>
      </c>
      <c r="I39" s="59">
        <f t="shared" si="40"/>
        <v>1000623.4297322254</v>
      </c>
      <c r="J39" s="59">
        <f t="shared" si="40"/>
        <v>1305322.652446907</v>
      </c>
      <c r="K39" s="143">
        <f t="shared" si="40"/>
        <v>1536518.375623269</v>
      </c>
      <c r="L39" s="143">
        <f t="shared" si="40"/>
        <v>1721205.7257617731</v>
      </c>
      <c r="M39" s="143">
        <f t="shared" si="40"/>
        <v>1659200.8701754389</v>
      </c>
      <c r="N39" s="143">
        <f t="shared" si="40"/>
        <v>1531094.3632502314</v>
      </c>
      <c r="O39" s="143">
        <f t="shared" si="40"/>
        <v>1525424.0821791322</v>
      </c>
      <c r="P39" s="59">
        <f t="shared" si="40"/>
        <v>1432022.072022161</v>
      </c>
      <c r="Q39" s="59">
        <f t="shared" si="40"/>
        <v>1213540.7493998155</v>
      </c>
      <c r="R39" s="59">
        <f t="shared" si="40"/>
        <v>1058538.1966759004</v>
      </c>
      <c r="S39" s="213">
        <f>SUM(G39:R39)</f>
        <v>16138040.517266855</v>
      </c>
      <c r="T39" s="209">
        <f>S39-'[5]FT GAS'!$AJ$39</f>
        <v>-499514.95744008943</v>
      </c>
      <c r="W39" s="59" t="s">
        <v>434</v>
      </c>
      <c r="X39" s="59">
        <f t="shared" ref="X39:AI39" si="41">SUM(X7,X34)</f>
        <v>1048417.3604432133</v>
      </c>
      <c r="Y39" s="59">
        <f t="shared" si="41"/>
        <v>1092056.1607940905</v>
      </c>
      <c r="Z39" s="59">
        <f t="shared" si="41"/>
        <v>1015919.1488827332</v>
      </c>
      <c r="AA39" s="59">
        <f t="shared" si="41"/>
        <v>1355962.4405540172</v>
      </c>
      <c r="AB39" s="143">
        <f t="shared" si="41"/>
        <v>1690701.5918744232</v>
      </c>
      <c r="AC39" s="143">
        <f t="shared" si="41"/>
        <v>1600844.1460387814</v>
      </c>
      <c r="AD39" s="143">
        <f t="shared" si="41"/>
        <v>1700875.8353554939</v>
      </c>
      <c r="AE39" s="143">
        <f t="shared" si="41"/>
        <v>1398665.3274792247</v>
      </c>
      <c r="AF39" s="143">
        <f t="shared" si="41"/>
        <v>1509316.5728901206</v>
      </c>
      <c r="AG39" s="59">
        <f t="shared" si="41"/>
        <v>1601261.8347368422</v>
      </c>
      <c r="AH39" s="59">
        <f t="shared" si="41"/>
        <v>1272716.6206278857</v>
      </c>
      <c r="AI39" s="59">
        <f t="shared" si="41"/>
        <v>1104473.4350323179</v>
      </c>
      <c r="AJ39" s="213">
        <f>SUM(X39:AI39)</f>
        <v>16391210.474709142</v>
      </c>
      <c r="AN39" s="59" t="s">
        <v>434</v>
      </c>
      <c r="AO39" s="59">
        <f t="shared" ref="AO39:AZ39" si="42">SUM(AO7,AO34)</f>
        <v>1070476.6605355495</v>
      </c>
      <c r="AP39" s="59">
        <f t="shared" si="42"/>
        <v>1114901.4257987074</v>
      </c>
      <c r="AQ39" s="59">
        <f t="shared" si="42"/>
        <v>1028532.9867405356</v>
      </c>
      <c r="AR39" s="59">
        <f t="shared" si="42"/>
        <v>1385963.1123915054</v>
      </c>
      <c r="AS39" s="143">
        <f t="shared" si="42"/>
        <v>1720233.9545706373</v>
      </c>
      <c r="AT39" s="143">
        <f t="shared" si="42"/>
        <v>1649295.8911911361</v>
      </c>
      <c r="AU39" s="143">
        <f t="shared" si="42"/>
        <v>1751146.2161495851</v>
      </c>
      <c r="AV39" s="143">
        <f t="shared" si="42"/>
        <v>1430952.0643213298</v>
      </c>
      <c r="AW39" s="143">
        <f t="shared" si="42"/>
        <v>1540228.6393721148</v>
      </c>
      <c r="AX39" s="59">
        <f t="shared" si="42"/>
        <v>1624264.8412003694</v>
      </c>
      <c r="AY39" s="59">
        <f t="shared" si="42"/>
        <v>1293865.2315235457</v>
      </c>
      <c r="AZ39" s="59">
        <f t="shared" si="42"/>
        <v>1117634.79421976</v>
      </c>
      <c r="BA39" s="213">
        <f>SUM(AO39:AZ39)</f>
        <v>16727495.818014774</v>
      </c>
    </row>
    <row r="40" spans="1:53">
      <c r="F40" s="22" t="s">
        <v>92</v>
      </c>
      <c r="G40" s="22">
        <f t="shared" ref="G40:S40" si="43">G39/G1</f>
        <v>36128.518958687047</v>
      </c>
      <c r="H40" s="22">
        <f t="shared" si="43"/>
        <v>33373.09394453877</v>
      </c>
      <c r="I40" s="22">
        <f t="shared" si="43"/>
        <v>33354.114324407514</v>
      </c>
      <c r="J40" s="22">
        <f t="shared" si="43"/>
        <v>42107.182336997001</v>
      </c>
      <c r="K40" s="22">
        <f t="shared" si="43"/>
        <v>51217.279187442298</v>
      </c>
      <c r="L40" s="22">
        <f t="shared" si="43"/>
        <v>55522.765347153967</v>
      </c>
      <c r="M40" s="22">
        <f t="shared" si="43"/>
        <v>53522.608715336741</v>
      </c>
      <c r="N40" s="22">
        <f t="shared" si="43"/>
        <v>52796.357353456253</v>
      </c>
      <c r="O40" s="22">
        <f t="shared" si="43"/>
        <v>49207.228457391357</v>
      </c>
      <c r="P40" s="22">
        <f t="shared" si="43"/>
        <v>47734.069067405369</v>
      </c>
      <c r="Q40" s="22">
        <f t="shared" si="43"/>
        <v>39146.475787090822</v>
      </c>
      <c r="R40" s="22">
        <f t="shared" si="43"/>
        <v>35284.606555863349</v>
      </c>
      <c r="S40" s="28">
        <f t="shared" si="43"/>
        <v>44093.006877778294</v>
      </c>
      <c r="W40" s="22" t="s">
        <v>92</v>
      </c>
      <c r="X40" s="22">
        <f t="shared" ref="X40:AJ40" si="44">X39/X1</f>
        <v>33819.914853006878</v>
      </c>
      <c r="Y40" s="22">
        <f t="shared" si="44"/>
        <v>35227.618090131953</v>
      </c>
      <c r="Z40" s="22">
        <f t="shared" si="44"/>
        <v>33863.971629424443</v>
      </c>
      <c r="AA40" s="22">
        <f t="shared" si="44"/>
        <v>43740.723888839268</v>
      </c>
      <c r="AB40" s="22">
        <f t="shared" si="44"/>
        <v>56356.719729147437</v>
      </c>
      <c r="AC40" s="22">
        <f t="shared" si="44"/>
        <v>51640.133743186496</v>
      </c>
      <c r="AD40" s="22">
        <f t="shared" si="44"/>
        <v>54866.962430822387</v>
      </c>
      <c r="AE40" s="22">
        <f t="shared" si="44"/>
        <v>49952.333124258024</v>
      </c>
      <c r="AF40" s="22">
        <f t="shared" si="44"/>
        <v>48687.631383552274</v>
      </c>
      <c r="AG40" s="22">
        <f t="shared" si="44"/>
        <v>53375.394491228071</v>
      </c>
      <c r="AH40" s="22">
        <f t="shared" si="44"/>
        <v>41055.374858964053</v>
      </c>
      <c r="AI40" s="22">
        <f t="shared" si="44"/>
        <v>36815.781167743931</v>
      </c>
      <c r="AJ40" s="22">
        <f t="shared" si="44"/>
        <v>44907.42595810724</v>
      </c>
      <c r="AN40" s="22" t="s">
        <v>92</v>
      </c>
      <c r="AO40" s="22">
        <f t="shared" ref="AO40:BA40" si="45">AO39/AO1</f>
        <v>34531.505178566113</v>
      </c>
      <c r="AP40" s="22">
        <f t="shared" si="45"/>
        <v>35964.562122538948</v>
      </c>
      <c r="AQ40" s="22">
        <f t="shared" si="45"/>
        <v>34284.432891351185</v>
      </c>
      <c r="AR40" s="22">
        <f t="shared" si="45"/>
        <v>44708.487496500173</v>
      </c>
      <c r="AS40" s="22">
        <f t="shared" si="45"/>
        <v>57341.131819021241</v>
      </c>
      <c r="AT40" s="22">
        <f t="shared" si="45"/>
        <v>53203.0932642302</v>
      </c>
      <c r="AU40" s="22">
        <f t="shared" si="45"/>
        <v>56488.587617728554</v>
      </c>
      <c r="AV40" s="22">
        <f t="shared" si="45"/>
        <v>51105.430868618925</v>
      </c>
      <c r="AW40" s="22">
        <f t="shared" si="45"/>
        <v>49684.794818455317</v>
      </c>
      <c r="AX40" s="22">
        <f t="shared" si="45"/>
        <v>54142.161373345647</v>
      </c>
      <c r="AY40" s="22">
        <f t="shared" si="45"/>
        <v>41737.588113662765</v>
      </c>
      <c r="AZ40" s="22">
        <f t="shared" si="45"/>
        <v>37254.493140658669</v>
      </c>
      <c r="BA40" s="22">
        <f t="shared" si="45"/>
        <v>45828.755665793906</v>
      </c>
    </row>
    <row r="41" spans="1:53">
      <c r="F41" s="10" t="s">
        <v>93</v>
      </c>
      <c r="G41" s="22">
        <f>50979+9932+9054+6000+25000</f>
        <v>100965</v>
      </c>
      <c r="H41" s="22">
        <f t="shared" ref="H41:R41" si="46">50979+9932+9054+6000+25000</f>
        <v>100965</v>
      </c>
      <c r="I41" s="22">
        <f t="shared" si="46"/>
        <v>100965</v>
      </c>
      <c r="J41" s="22">
        <f t="shared" si="46"/>
        <v>100965</v>
      </c>
      <c r="K41" s="22">
        <f t="shared" si="46"/>
        <v>100965</v>
      </c>
      <c r="L41" s="22">
        <f t="shared" si="46"/>
        <v>100965</v>
      </c>
      <c r="M41" s="22">
        <f t="shared" si="46"/>
        <v>100965</v>
      </c>
      <c r="N41" s="22">
        <f t="shared" si="46"/>
        <v>100965</v>
      </c>
      <c r="O41" s="22">
        <f t="shared" si="46"/>
        <v>100965</v>
      </c>
      <c r="P41" s="22">
        <f t="shared" si="46"/>
        <v>100965</v>
      </c>
      <c r="Q41" s="22">
        <f t="shared" si="46"/>
        <v>100965</v>
      </c>
      <c r="R41" s="22">
        <f t="shared" si="46"/>
        <v>100965</v>
      </c>
      <c r="S41" s="28"/>
      <c r="W41" s="10" t="s">
        <v>93</v>
      </c>
      <c r="X41" s="22">
        <f>50979+9932+9054+6000</f>
        <v>75965</v>
      </c>
      <c r="Y41" s="22">
        <f>50979+9932+9054+6000</f>
        <v>75965</v>
      </c>
      <c r="Z41" s="22">
        <f>50979+9932+9054+6000</f>
        <v>75965</v>
      </c>
      <c r="AA41" s="22">
        <f>50979+9932+9054+6000</f>
        <v>75965</v>
      </c>
      <c r="AB41" s="22">
        <f>50979+9932+9054+6000+10000</f>
        <v>85965</v>
      </c>
      <c r="AC41" s="22">
        <f>50979+9932+9054+6000+10000</f>
        <v>85965</v>
      </c>
      <c r="AD41" s="22">
        <f>50979+9932+9054+6000+10000</f>
        <v>85965</v>
      </c>
      <c r="AE41" s="22">
        <f>50979+9932+9054+6000+10000</f>
        <v>85965</v>
      </c>
      <c r="AF41" s="22">
        <f>50979+9932+9054+6000+10000</f>
        <v>85965</v>
      </c>
      <c r="AG41" s="22">
        <f>50979+9932+9054+6000</f>
        <v>75965</v>
      </c>
      <c r="AH41" s="22">
        <f>50979+9932+9054+6000</f>
        <v>75965</v>
      </c>
      <c r="AI41" s="22">
        <f>50979+9932+9054+6000</f>
        <v>75965</v>
      </c>
      <c r="AJ41" s="22">
        <f>(7*75965+5*85965)/12</f>
        <v>80131.666666666672</v>
      </c>
      <c r="AN41" s="10" t="s">
        <v>93</v>
      </c>
      <c r="AO41" s="22">
        <f>50979+9932+9054+6000</f>
        <v>75965</v>
      </c>
      <c r="AP41" s="22">
        <f>50979+9932+9054+6000</f>
        <v>75965</v>
      </c>
      <c r="AQ41" s="22">
        <f>50979+9932+9054+6000</f>
        <v>75965</v>
      </c>
      <c r="AR41" s="22">
        <f>50979+9932+9054+6000</f>
        <v>75965</v>
      </c>
      <c r="AS41" s="22">
        <f>50979+9932+9054+6000+10000</f>
        <v>85965</v>
      </c>
      <c r="AT41" s="22">
        <f>50979+9932+9054+6000+10000</f>
        <v>85965</v>
      </c>
      <c r="AU41" s="22">
        <f>50979+9932+9054+6000+10000</f>
        <v>85965</v>
      </c>
      <c r="AV41" s="22">
        <f>50979+9932+9054+6000+10000</f>
        <v>85965</v>
      </c>
      <c r="AW41" s="22">
        <f>50979+9932+9054+6000+10000</f>
        <v>85965</v>
      </c>
      <c r="AX41" s="22">
        <f>50979+9932+9054+6000</f>
        <v>75965</v>
      </c>
      <c r="AY41" s="22">
        <f>50979+9932+9054+6000</f>
        <v>75965</v>
      </c>
      <c r="AZ41" s="22">
        <f>50979+9932+9054+6000</f>
        <v>75965</v>
      </c>
      <c r="BA41" s="22">
        <f>(7*75965+5*85965)/12</f>
        <v>80131.666666666672</v>
      </c>
    </row>
    <row r="42" spans="1:53">
      <c r="K42" s="22"/>
      <c r="L42" s="22"/>
      <c r="M42" s="22"/>
      <c r="N42" s="22"/>
      <c r="O42" s="22"/>
      <c r="S42" s="28"/>
      <c r="T42" s="22"/>
      <c r="AJ42" s="10"/>
      <c r="BA42" s="10"/>
    </row>
    <row r="43" spans="1:53">
      <c r="F43" s="10" t="s">
        <v>764</v>
      </c>
      <c r="G43" s="22">
        <f t="shared" ref="G43:R43" si="47">G44*G1</f>
        <v>347200</v>
      </c>
      <c r="H43" s="22">
        <f t="shared" si="47"/>
        <v>347200</v>
      </c>
      <c r="I43" s="22">
        <f t="shared" si="47"/>
        <v>225000</v>
      </c>
      <c r="J43" s="22">
        <f t="shared" si="47"/>
        <v>120900</v>
      </c>
      <c r="K43" s="22">
        <f t="shared" si="47"/>
        <v>300000</v>
      </c>
      <c r="L43" s="22">
        <f t="shared" si="47"/>
        <v>465000</v>
      </c>
      <c r="M43" s="22">
        <f t="shared" si="47"/>
        <v>465000</v>
      </c>
      <c r="N43" s="22">
        <f t="shared" si="47"/>
        <v>435000</v>
      </c>
      <c r="O43" s="22">
        <f t="shared" si="47"/>
        <v>310000</v>
      </c>
      <c r="P43" s="22">
        <f t="shared" si="47"/>
        <v>261000</v>
      </c>
      <c r="Q43" s="22">
        <f t="shared" si="47"/>
        <v>347200</v>
      </c>
      <c r="R43" s="22">
        <f t="shared" si="47"/>
        <v>348000</v>
      </c>
      <c r="S43" s="131">
        <f>SUM(G43:R43)</f>
        <v>3971500</v>
      </c>
      <c r="T43" s="124">
        <f>S43/S39</f>
        <v>0.24609555266333008</v>
      </c>
      <c r="W43" s="10" t="s">
        <v>764</v>
      </c>
      <c r="X43" s="22">
        <f t="shared" ref="X43:AI43" si="48">X44*X1</f>
        <v>347200</v>
      </c>
      <c r="Y43" s="22">
        <f t="shared" si="48"/>
        <v>347200</v>
      </c>
      <c r="Z43" s="22">
        <f t="shared" si="48"/>
        <v>225000</v>
      </c>
      <c r="AA43" s="22">
        <f t="shared" si="48"/>
        <v>120900</v>
      </c>
      <c r="AB43" s="22">
        <f t="shared" si="48"/>
        <v>300000</v>
      </c>
      <c r="AC43" s="22">
        <f t="shared" si="48"/>
        <v>465000</v>
      </c>
      <c r="AD43" s="22">
        <f t="shared" si="48"/>
        <v>465000</v>
      </c>
      <c r="AE43" s="22">
        <f t="shared" si="48"/>
        <v>420000</v>
      </c>
      <c r="AF43" s="22">
        <f t="shared" si="48"/>
        <v>306900</v>
      </c>
      <c r="AG43" s="22">
        <f t="shared" si="48"/>
        <v>261000</v>
      </c>
      <c r="AH43" s="22">
        <f t="shared" si="48"/>
        <v>347200</v>
      </c>
      <c r="AI43" s="22">
        <f t="shared" si="48"/>
        <v>348000</v>
      </c>
      <c r="AJ43" s="22">
        <f>SUM(X43:AI43)</f>
        <v>3953400</v>
      </c>
      <c r="AN43" s="10" t="s">
        <v>764</v>
      </c>
      <c r="AO43" s="22">
        <f t="shared" ref="AO43:AZ43" si="49">AO44*AO1</f>
        <v>347200</v>
      </c>
      <c r="AP43" s="22">
        <f t="shared" si="49"/>
        <v>347200</v>
      </c>
      <c r="AQ43" s="22">
        <f t="shared" si="49"/>
        <v>225000</v>
      </c>
      <c r="AR43" s="22">
        <f t="shared" si="49"/>
        <v>120900</v>
      </c>
      <c r="AS43" s="22">
        <f t="shared" si="49"/>
        <v>323250</v>
      </c>
      <c r="AT43" s="22">
        <f t="shared" si="49"/>
        <v>449500</v>
      </c>
      <c r="AU43" s="22">
        <f t="shared" si="49"/>
        <v>465000</v>
      </c>
      <c r="AV43" s="22">
        <f t="shared" si="49"/>
        <v>420000</v>
      </c>
      <c r="AW43" s="22">
        <f t="shared" si="49"/>
        <v>306900</v>
      </c>
      <c r="AX43" s="22">
        <f t="shared" si="49"/>
        <v>261000</v>
      </c>
      <c r="AY43" s="22">
        <f t="shared" si="49"/>
        <v>347200</v>
      </c>
      <c r="AZ43" s="22">
        <f t="shared" si="49"/>
        <v>348000</v>
      </c>
      <c r="BA43" s="22">
        <f>SUM(AO43:AZ43)</f>
        <v>3961150</v>
      </c>
    </row>
    <row r="44" spans="1:53" s="22" customFormat="1">
      <c r="E44" s="358"/>
      <c r="F44" s="22" t="s">
        <v>765</v>
      </c>
      <c r="G44" s="22">
        <v>11200</v>
      </c>
      <c r="H44" s="22">
        <v>11200</v>
      </c>
      <c r="I44" s="22">
        <v>7500</v>
      </c>
      <c r="J44" s="22">
        <v>3900</v>
      </c>
      <c r="K44" s="22">
        <v>10000</v>
      </c>
      <c r="L44" s="22">
        <v>15000</v>
      </c>
      <c r="M44" s="22">
        <v>15000</v>
      </c>
      <c r="N44" s="22">
        <v>15000</v>
      </c>
      <c r="O44" s="22">
        <v>10000</v>
      </c>
      <c r="P44" s="22">
        <v>8700</v>
      </c>
      <c r="Q44" s="22">
        <v>11200</v>
      </c>
      <c r="R44" s="22">
        <v>11600</v>
      </c>
      <c r="S44" s="28">
        <f>S43/SUM(J1:R1)</f>
        <v>14494.525547445255</v>
      </c>
      <c r="W44" s="22" t="s">
        <v>765</v>
      </c>
      <c r="X44" s="22">
        <v>11200</v>
      </c>
      <c r="Y44" s="22">
        <v>11200</v>
      </c>
      <c r="Z44" s="22">
        <v>7500</v>
      </c>
      <c r="AA44" s="22">
        <v>3900</v>
      </c>
      <c r="AB44" s="22">
        <v>10000</v>
      </c>
      <c r="AC44" s="22">
        <v>15000</v>
      </c>
      <c r="AD44" s="22">
        <v>15000</v>
      </c>
      <c r="AE44" s="22">
        <v>15000</v>
      </c>
      <c r="AF44" s="22">
        <v>9900</v>
      </c>
      <c r="AG44" s="22">
        <v>8700</v>
      </c>
      <c r="AH44" s="22">
        <v>11200</v>
      </c>
      <c r="AI44" s="22">
        <v>11600</v>
      </c>
      <c r="AN44" s="22" t="s">
        <v>765</v>
      </c>
      <c r="AO44" s="22">
        <v>11200</v>
      </c>
      <c r="AP44" s="22">
        <v>11200</v>
      </c>
      <c r="AQ44" s="22">
        <v>7500</v>
      </c>
      <c r="AR44" s="22">
        <v>3900</v>
      </c>
      <c r="AS44" s="22">
        <v>10775</v>
      </c>
      <c r="AT44" s="22">
        <v>14500</v>
      </c>
      <c r="AU44" s="22">
        <v>15000</v>
      </c>
      <c r="AV44" s="22">
        <v>15000</v>
      </c>
      <c r="AW44" s="22">
        <v>9900</v>
      </c>
      <c r="AX44" s="22">
        <v>8700</v>
      </c>
      <c r="AY44" s="22">
        <v>11200</v>
      </c>
      <c r="AZ44" s="22">
        <v>11600</v>
      </c>
    </row>
    <row r="45" spans="1:53">
      <c r="E45" s="359"/>
      <c r="F45" s="10" t="s">
        <v>766</v>
      </c>
      <c r="G45" s="32">
        <f>G43*G46</f>
        <v>1391230.4000000001</v>
      </c>
      <c r="H45" s="32">
        <f t="shared" ref="H45:R45" si="50">H43*H46</f>
        <v>1378384</v>
      </c>
      <c r="I45" s="32">
        <f t="shared" si="50"/>
        <v>789075</v>
      </c>
      <c r="J45" s="32">
        <f t="shared" si="50"/>
        <v>412148.1</v>
      </c>
      <c r="K45" s="32">
        <f t="shared" si="50"/>
        <v>952200</v>
      </c>
      <c r="L45" s="32">
        <f t="shared" si="50"/>
        <v>1401510</v>
      </c>
      <c r="M45" s="32">
        <f t="shared" si="50"/>
        <v>1271310</v>
      </c>
      <c r="N45" s="32">
        <f t="shared" si="50"/>
        <v>1012679.9999999999</v>
      </c>
      <c r="O45" s="32">
        <f t="shared" si="50"/>
        <v>649760</v>
      </c>
      <c r="P45" s="32">
        <f t="shared" si="50"/>
        <v>480500.99999999994</v>
      </c>
      <c r="Q45" s="32">
        <f t="shared" si="50"/>
        <v>585379.19999999995</v>
      </c>
      <c r="R45" s="32">
        <f t="shared" si="50"/>
        <v>723491.99999999988</v>
      </c>
      <c r="S45" s="197">
        <f>SUM(G45:R45)</f>
        <v>11047669.699999999</v>
      </c>
      <c r="T45" s="22"/>
      <c r="W45" s="10" t="s">
        <v>766</v>
      </c>
      <c r="X45" s="32">
        <f>X43*X46</f>
        <v>841612.79999999993</v>
      </c>
      <c r="Y45" s="32">
        <f t="shared" ref="Y45:AI45" si="51">Y43*Y46</f>
        <v>948203.2</v>
      </c>
      <c r="Z45" s="32">
        <f t="shared" si="51"/>
        <v>613350</v>
      </c>
      <c r="AA45" s="32">
        <f t="shared" si="51"/>
        <v>330419.7</v>
      </c>
      <c r="AB45" s="32">
        <f t="shared" si="51"/>
        <v>860699.99999999988</v>
      </c>
      <c r="AC45" s="32">
        <f t="shared" si="51"/>
        <v>1441965</v>
      </c>
      <c r="AD45" s="32">
        <f t="shared" si="51"/>
        <v>1502415</v>
      </c>
      <c r="AE45" s="32">
        <f t="shared" si="51"/>
        <v>1359540</v>
      </c>
      <c r="AF45" s="32">
        <f t="shared" si="51"/>
        <v>980545.5</v>
      </c>
      <c r="AG45" s="32">
        <f t="shared" si="51"/>
        <v>823977</v>
      </c>
      <c r="AH45" s="32">
        <f t="shared" si="51"/>
        <v>1102360</v>
      </c>
      <c r="AI45" s="32">
        <f t="shared" si="51"/>
        <v>1117080</v>
      </c>
      <c r="AJ45" s="43">
        <f>SUM(X45:AI45)</f>
        <v>11922168.199999999</v>
      </c>
      <c r="AN45" s="10" t="s">
        <v>766</v>
      </c>
      <c r="BA45" s="10"/>
    </row>
    <row r="46" spans="1:53">
      <c r="E46" s="29">
        <f>-0.35</f>
        <v>-0.35</v>
      </c>
      <c r="F46" s="10" t="s">
        <v>767</v>
      </c>
      <c r="G46" s="187">
        <f>G109+$E$46</f>
        <v>4.0070000000000006</v>
      </c>
      <c r="H46" s="187">
        <f t="shared" ref="H46:R46" si="52">H109+$E$46</f>
        <v>3.97</v>
      </c>
      <c r="I46" s="187">
        <f t="shared" si="52"/>
        <v>3.5070000000000001</v>
      </c>
      <c r="J46" s="187">
        <f t="shared" si="52"/>
        <v>3.4089999999999998</v>
      </c>
      <c r="K46" s="187">
        <f t="shared" si="52"/>
        <v>3.1739999999999999</v>
      </c>
      <c r="L46" s="187">
        <f t="shared" si="52"/>
        <v>3.0139999999999998</v>
      </c>
      <c r="M46" s="187">
        <f t="shared" si="52"/>
        <v>2.734</v>
      </c>
      <c r="N46" s="187">
        <f t="shared" si="52"/>
        <v>2.3279999999999998</v>
      </c>
      <c r="O46" s="187">
        <f t="shared" si="52"/>
        <v>2.0960000000000001</v>
      </c>
      <c r="P46" s="187">
        <f t="shared" si="52"/>
        <v>1.8409999999999997</v>
      </c>
      <c r="Q46" s="187">
        <f t="shared" si="52"/>
        <v>1.6859999999999999</v>
      </c>
      <c r="R46" s="187">
        <f t="shared" si="52"/>
        <v>2.0789999999999997</v>
      </c>
      <c r="S46" s="17">
        <f>S45/S43</f>
        <v>2.7817373032859121</v>
      </c>
      <c r="T46" s="22"/>
      <c r="V46" s="29">
        <f>-0.35</f>
        <v>-0.35</v>
      </c>
      <c r="W46" s="10" t="s">
        <v>767</v>
      </c>
      <c r="X46" s="187">
        <f>X109+$V$46</f>
        <v>2.4239999999999999</v>
      </c>
      <c r="Y46" s="187">
        <f t="shared" ref="Y46:AI46" si="53">Y109+$V$46</f>
        <v>2.7309999999999999</v>
      </c>
      <c r="Z46" s="187">
        <f t="shared" si="53"/>
        <v>2.726</v>
      </c>
      <c r="AA46" s="187">
        <f t="shared" si="53"/>
        <v>2.7330000000000001</v>
      </c>
      <c r="AB46" s="187">
        <f t="shared" si="53"/>
        <v>2.8689999999999998</v>
      </c>
      <c r="AC46" s="187">
        <f t="shared" si="53"/>
        <v>3.101</v>
      </c>
      <c r="AD46" s="187">
        <f t="shared" si="53"/>
        <v>3.2309999999999999</v>
      </c>
      <c r="AE46" s="187">
        <f t="shared" si="53"/>
        <v>3.2370000000000001</v>
      </c>
      <c r="AF46" s="187">
        <f t="shared" si="53"/>
        <v>3.1949999999999998</v>
      </c>
      <c r="AG46" s="187">
        <f t="shared" si="53"/>
        <v>3.157</v>
      </c>
      <c r="AH46" s="187">
        <f t="shared" si="53"/>
        <v>3.1749999999999998</v>
      </c>
      <c r="AI46" s="187">
        <f t="shared" si="53"/>
        <v>3.21</v>
      </c>
      <c r="AJ46" s="10"/>
      <c r="AM46" s="29">
        <f>-0.35</f>
        <v>-0.35</v>
      </c>
      <c r="AN46" s="10" t="s">
        <v>767</v>
      </c>
      <c r="AO46" s="187">
        <f>AO109+$AM$46</f>
        <v>3.254</v>
      </c>
      <c r="AP46" s="187">
        <f t="shared" ref="AP46:AZ46" si="54">AP109+$AM$46</f>
        <v>3.2769999999999997</v>
      </c>
      <c r="AQ46" s="187">
        <f t="shared" si="54"/>
        <v>3.282</v>
      </c>
      <c r="AR46" s="187">
        <f t="shared" si="54"/>
        <v>3.3159999999999998</v>
      </c>
      <c r="AS46" s="187">
        <f t="shared" si="54"/>
        <v>3.4299999999999997</v>
      </c>
      <c r="AT46" s="187">
        <f t="shared" si="54"/>
        <v>3.6360000000000001</v>
      </c>
      <c r="AU46" s="187">
        <f t="shared" si="54"/>
        <v>3.7479999999999998</v>
      </c>
      <c r="AV46" s="187">
        <f t="shared" si="54"/>
        <v>3.7269999999999999</v>
      </c>
      <c r="AW46" s="187">
        <f t="shared" si="54"/>
        <v>3.6560000000000001</v>
      </c>
      <c r="AX46" s="187">
        <f t="shared" si="54"/>
        <v>3.504</v>
      </c>
      <c r="AY46" s="187">
        <f t="shared" si="54"/>
        <v>3.5209999999999999</v>
      </c>
      <c r="AZ46" s="187">
        <f t="shared" si="54"/>
        <v>3.5459999999999998</v>
      </c>
      <c r="BA46" s="10"/>
    </row>
    <row r="47" spans="1:53">
      <c r="F47" s="10" t="s">
        <v>846</v>
      </c>
      <c r="G47" s="28">
        <f>G48*G1</f>
        <v>0</v>
      </c>
      <c r="H47" s="28">
        <f>H48*H1</f>
        <v>0</v>
      </c>
      <c r="I47" s="28">
        <f>I48*I1</f>
        <v>0</v>
      </c>
      <c r="J47" s="17"/>
      <c r="K47" s="17"/>
      <c r="L47" s="17"/>
      <c r="M47" s="17"/>
      <c r="N47" s="17"/>
      <c r="O47" s="17"/>
      <c r="P47" s="17"/>
      <c r="Q47" s="17"/>
      <c r="R47" s="17"/>
      <c r="S47" s="131">
        <f>SUM(G47:R47)</f>
        <v>0</v>
      </c>
      <c r="T47" s="22"/>
      <c r="V47" s="29"/>
      <c r="W47" s="10" t="s">
        <v>846</v>
      </c>
      <c r="X47" s="28"/>
      <c r="Y47" s="28"/>
      <c r="Z47" s="28"/>
      <c r="AA47" s="17"/>
      <c r="AB47" s="17"/>
      <c r="AC47" s="17"/>
      <c r="AD47" s="17"/>
      <c r="AE47" s="17"/>
      <c r="AF47" s="17"/>
      <c r="AG47" s="17"/>
      <c r="AH47" s="17"/>
      <c r="AI47" s="17"/>
      <c r="AJ47" s="22">
        <f>SUM(X47:AI47)</f>
        <v>0</v>
      </c>
      <c r="AN47" s="10" t="s">
        <v>846</v>
      </c>
      <c r="BA47" s="10"/>
    </row>
    <row r="48" spans="1:53" s="31" customFormat="1">
      <c r="A48" s="22"/>
      <c r="B48" s="22"/>
      <c r="C48" s="22"/>
      <c r="D48" s="22"/>
      <c r="E48" s="358"/>
      <c r="F48" s="22" t="s">
        <v>847</v>
      </c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2">
        <f>S47/SUM(G1:I1)</f>
        <v>0</v>
      </c>
      <c r="T48" s="22"/>
      <c r="V48" s="22"/>
      <c r="W48" s="22" t="s">
        <v>847</v>
      </c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2">
        <f>AJ47/SUM(X1:Z1)</f>
        <v>0</v>
      </c>
      <c r="AN48" s="22" t="s">
        <v>847</v>
      </c>
      <c r="BA48" s="22"/>
    </row>
    <row r="49" spans="5:53">
      <c r="F49" s="10" t="s">
        <v>848</v>
      </c>
      <c r="G49" s="32">
        <f>G47*G50</f>
        <v>0</v>
      </c>
      <c r="H49" s="32">
        <f>H47*H50</f>
        <v>0</v>
      </c>
      <c r="I49" s="32">
        <f>I47*I50</f>
        <v>0</v>
      </c>
      <c r="J49" s="17"/>
      <c r="K49" s="17"/>
      <c r="L49" s="17"/>
      <c r="M49" s="17"/>
      <c r="N49" s="17"/>
      <c r="O49" s="17"/>
      <c r="P49" s="17"/>
      <c r="Q49" s="17"/>
      <c r="R49" s="17"/>
      <c r="S49" s="197">
        <f>SUM(G49:I49)</f>
        <v>0</v>
      </c>
      <c r="T49" s="22"/>
      <c r="V49" s="29"/>
      <c r="W49" s="10" t="s">
        <v>848</v>
      </c>
      <c r="X49" s="39"/>
      <c r="Y49" s="39"/>
      <c r="Z49" s="39"/>
      <c r="AA49" s="17"/>
      <c r="AB49" s="17"/>
      <c r="AC49" s="17"/>
      <c r="AD49" s="17"/>
      <c r="AE49" s="17"/>
      <c r="AF49" s="17"/>
      <c r="AG49" s="17"/>
      <c r="AH49" s="17"/>
      <c r="AI49" s="17"/>
      <c r="AJ49" s="32">
        <f>SUM(X49:AI49)</f>
        <v>0</v>
      </c>
      <c r="AN49" s="10" t="s">
        <v>848</v>
      </c>
      <c r="BA49" s="10"/>
    </row>
    <row r="50" spans="5:53">
      <c r="F50" s="16" t="s">
        <v>849</v>
      </c>
      <c r="G50" s="330"/>
      <c r="H50" s="330"/>
      <c r="I50" s="330"/>
      <c r="J50" s="17"/>
      <c r="K50" s="17"/>
      <c r="L50" s="17"/>
      <c r="M50" s="17"/>
      <c r="N50" s="17"/>
      <c r="O50" s="17"/>
      <c r="P50" s="17"/>
      <c r="Q50" s="17"/>
      <c r="R50" s="17"/>
      <c r="S50" s="17" t="e">
        <f>S49/S47</f>
        <v>#DIV/0!</v>
      </c>
      <c r="T50" s="22"/>
      <c r="V50" s="29"/>
      <c r="W50" s="16" t="s">
        <v>849</v>
      </c>
      <c r="X50" s="330"/>
      <c r="Y50" s="330"/>
      <c r="Z50" s="330"/>
      <c r="AA50" s="17"/>
      <c r="AB50" s="17"/>
      <c r="AC50" s="17"/>
      <c r="AD50" s="17"/>
      <c r="AE50" s="17"/>
      <c r="AF50" s="17"/>
      <c r="AG50" s="17"/>
      <c r="AH50" s="17"/>
      <c r="AI50" s="17"/>
      <c r="AJ50" s="16" t="e">
        <f>AJ49/AJ47</f>
        <v>#DIV/0!</v>
      </c>
      <c r="AN50" s="16" t="s">
        <v>849</v>
      </c>
      <c r="BA50" s="10"/>
    </row>
    <row r="51" spans="5:53" s="22" customFormat="1">
      <c r="E51" s="358"/>
      <c r="F51" s="22" t="s">
        <v>837</v>
      </c>
      <c r="G51" s="22">
        <f t="shared" ref="G51:R51" si="55">G52*G1</f>
        <v>232500</v>
      </c>
      <c r="H51" s="22">
        <f t="shared" si="55"/>
        <v>232500</v>
      </c>
      <c r="I51" s="22">
        <f t="shared" si="55"/>
        <v>225000</v>
      </c>
      <c r="J51" s="22">
        <f t="shared" si="55"/>
        <v>232500</v>
      </c>
      <c r="K51" s="22">
        <f t="shared" si="55"/>
        <v>375000</v>
      </c>
      <c r="L51" s="22">
        <f t="shared" si="55"/>
        <v>465000</v>
      </c>
      <c r="M51" s="22">
        <f t="shared" si="55"/>
        <v>465000</v>
      </c>
      <c r="N51" s="22">
        <f t="shared" si="55"/>
        <v>435000</v>
      </c>
      <c r="O51" s="22">
        <f t="shared" si="55"/>
        <v>465000</v>
      </c>
      <c r="P51" s="22">
        <f t="shared" si="55"/>
        <v>150000</v>
      </c>
      <c r="Q51" s="22">
        <f t="shared" si="55"/>
        <v>155000</v>
      </c>
      <c r="R51" s="22">
        <f t="shared" si="55"/>
        <v>150000</v>
      </c>
      <c r="S51" s="131">
        <f>SUM(G51:R51)</f>
        <v>3582500</v>
      </c>
      <c r="W51" s="22" t="s">
        <v>837</v>
      </c>
      <c r="X51" s="22">
        <f>X52*X1</f>
        <v>155000</v>
      </c>
      <c r="Y51" s="22">
        <f>Y52*Y1</f>
        <v>155000</v>
      </c>
      <c r="Z51" s="22">
        <f>Z52*Z1</f>
        <v>150000</v>
      </c>
      <c r="AA51" s="22">
        <f t="shared" ref="AA51:AI51" si="56">AA52*AA1</f>
        <v>155000</v>
      </c>
      <c r="AB51" s="22">
        <f t="shared" si="56"/>
        <v>225000</v>
      </c>
      <c r="AC51" s="22">
        <f t="shared" si="56"/>
        <v>232500</v>
      </c>
      <c r="AD51" s="22">
        <f t="shared" si="56"/>
        <v>232500</v>
      </c>
      <c r="AE51" s="22">
        <f t="shared" si="56"/>
        <v>210000</v>
      </c>
      <c r="AF51" s="22">
        <f t="shared" si="56"/>
        <v>232500</v>
      </c>
      <c r="AG51" s="22">
        <f t="shared" si="56"/>
        <v>75000</v>
      </c>
      <c r="AH51" s="22">
        <f t="shared" si="56"/>
        <v>77500</v>
      </c>
      <c r="AI51" s="22">
        <f t="shared" si="56"/>
        <v>75000</v>
      </c>
      <c r="AJ51" s="59">
        <f>SUM(X51:AI51)</f>
        <v>1975000</v>
      </c>
      <c r="AN51" s="22" t="s">
        <v>837</v>
      </c>
      <c r="AO51" s="22">
        <f>AO52*AO1</f>
        <v>77500</v>
      </c>
      <c r="AP51" s="22">
        <f>AP52*AP1</f>
        <v>77500</v>
      </c>
      <c r="AQ51" s="22">
        <f>AQ52*AQ1</f>
        <v>75000</v>
      </c>
      <c r="AR51" s="22">
        <f t="shared" ref="AR51" si="57">AR52*AR1</f>
        <v>77500</v>
      </c>
      <c r="BA51" s="59">
        <f>SUM(AO51:AZ51)</f>
        <v>307500</v>
      </c>
    </row>
    <row r="52" spans="5:53" s="22" customFormat="1">
      <c r="E52" s="358"/>
      <c r="F52" s="22" t="s">
        <v>838</v>
      </c>
      <c r="G52" s="132">
        <v>7500</v>
      </c>
      <c r="H52" s="132">
        <v>7500</v>
      </c>
      <c r="I52" s="132">
        <v>7500</v>
      </c>
      <c r="J52" s="132">
        <v>7500</v>
      </c>
      <c r="K52" s="132">
        <v>12500</v>
      </c>
      <c r="L52" s="132">
        <v>15000</v>
      </c>
      <c r="M52" s="132">
        <v>15000</v>
      </c>
      <c r="N52" s="132">
        <v>15000</v>
      </c>
      <c r="O52" s="132">
        <v>15000</v>
      </c>
      <c r="P52" s="132">
        <v>5000</v>
      </c>
      <c r="Q52" s="132">
        <v>5000</v>
      </c>
      <c r="R52" s="132">
        <v>5000</v>
      </c>
      <c r="S52" s="28">
        <f>S51/SUM(G1:R1)</f>
        <v>9788.2513661202192</v>
      </c>
      <c r="W52" s="22" t="s">
        <v>838</v>
      </c>
      <c r="X52" s="132">
        <v>5000</v>
      </c>
      <c r="Y52" s="132">
        <v>5000</v>
      </c>
      <c r="Z52" s="132">
        <v>5000</v>
      </c>
      <c r="AA52" s="132">
        <v>5000</v>
      </c>
      <c r="AB52" s="132">
        <v>7500</v>
      </c>
      <c r="AC52" s="132">
        <v>7500</v>
      </c>
      <c r="AD52" s="132">
        <v>7500</v>
      </c>
      <c r="AE52" s="132">
        <v>7500</v>
      </c>
      <c r="AF52" s="132">
        <v>7500</v>
      </c>
      <c r="AG52" s="394">
        <v>2500</v>
      </c>
      <c r="AH52" s="394">
        <v>2500</v>
      </c>
      <c r="AI52" s="394">
        <v>2500</v>
      </c>
      <c r="AJ52" s="22">
        <f>AJ51/SUM(X1:AI1)</f>
        <v>5410.9589041095887</v>
      </c>
      <c r="AN52" s="22" t="s">
        <v>838</v>
      </c>
      <c r="AO52" s="132">
        <v>2500</v>
      </c>
      <c r="AP52" s="132">
        <v>2500</v>
      </c>
      <c r="AQ52" s="132">
        <v>2500</v>
      </c>
      <c r="AR52" s="132">
        <v>2500</v>
      </c>
      <c r="BA52" s="22">
        <f>BA51/SUM(AO1:AR1)</f>
        <v>2500</v>
      </c>
    </row>
    <row r="53" spans="5:53" s="16" customFormat="1">
      <c r="E53" s="358"/>
      <c r="F53" s="10" t="s">
        <v>839</v>
      </c>
      <c r="G53" s="32">
        <f t="shared" ref="G53:R53" si="58">G51*G54</f>
        <v>1013002.5</v>
      </c>
      <c r="H53" s="32">
        <f t="shared" si="58"/>
        <v>1004400.0000000001</v>
      </c>
      <c r="I53" s="32">
        <f t="shared" si="58"/>
        <v>867825</v>
      </c>
      <c r="J53" s="32">
        <f t="shared" si="58"/>
        <v>873967.5</v>
      </c>
      <c r="K53" s="32">
        <f t="shared" si="58"/>
        <v>1372500</v>
      </c>
      <c r="L53" s="32">
        <f t="shared" si="58"/>
        <v>1674000</v>
      </c>
      <c r="M53" s="32">
        <f t="shared" si="58"/>
        <v>1674000</v>
      </c>
      <c r="N53" s="32">
        <f t="shared" si="58"/>
        <v>1566000</v>
      </c>
      <c r="O53" s="32">
        <f t="shared" si="58"/>
        <v>1674000</v>
      </c>
      <c r="P53" s="32">
        <f t="shared" si="58"/>
        <v>510000</v>
      </c>
      <c r="Q53" s="32">
        <f t="shared" si="58"/>
        <v>527000</v>
      </c>
      <c r="R53" s="32">
        <f t="shared" si="58"/>
        <v>510000</v>
      </c>
      <c r="S53" s="197">
        <f>SUM(G53:R53)</f>
        <v>13266695</v>
      </c>
      <c r="W53" s="10" t="s">
        <v>839</v>
      </c>
      <c r="X53" s="32">
        <f>X51*X54</f>
        <v>527000</v>
      </c>
      <c r="Y53" s="32">
        <f>Y51*Y54</f>
        <v>527000</v>
      </c>
      <c r="Z53" s="32">
        <f>Z51*Z54</f>
        <v>510000</v>
      </c>
      <c r="AA53" s="32">
        <f t="shared" ref="AA53:AI53" si="59">AA51*AA54</f>
        <v>527000</v>
      </c>
      <c r="AB53" s="32">
        <f t="shared" si="59"/>
        <v>724275</v>
      </c>
      <c r="AC53" s="32">
        <f t="shared" si="59"/>
        <v>802357.5</v>
      </c>
      <c r="AD53" s="32">
        <f t="shared" si="59"/>
        <v>832582.5</v>
      </c>
      <c r="AE53" s="32">
        <f t="shared" si="59"/>
        <v>753270</v>
      </c>
      <c r="AF53" s="32">
        <f t="shared" si="59"/>
        <v>824212.5</v>
      </c>
      <c r="AG53" s="32">
        <f t="shared" si="59"/>
        <v>263025</v>
      </c>
      <c r="AH53" s="32">
        <f t="shared" si="59"/>
        <v>273187.5</v>
      </c>
      <c r="AI53" s="32">
        <f t="shared" si="59"/>
        <v>267000</v>
      </c>
      <c r="AJ53" s="43">
        <f>SUM(X53:AI53)</f>
        <v>6830910</v>
      </c>
      <c r="AN53" s="10" t="s">
        <v>839</v>
      </c>
      <c r="AO53" s="32">
        <f>AO51*AO54</f>
        <v>279310</v>
      </c>
      <c r="AP53" s="32">
        <f>AP51*AP54</f>
        <v>281092.5</v>
      </c>
      <c r="AQ53" s="32">
        <f>AQ51*AQ54</f>
        <v>272400</v>
      </c>
      <c r="AR53" s="32">
        <f t="shared" ref="AR53" si="60">AR51*AR54</f>
        <v>284115</v>
      </c>
      <c r="BA53" s="43">
        <f>SUM(AO53:AZ53)</f>
        <v>1116917.5</v>
      </c>
    </row>
    <row r="54" spans="5:53" s="16" customFormat="1">
      <c r="E54" s="358"/>
      <c r="F54" s="16" t="s">
        <v>840</v>
      </c>
      <c r="G54" s="311">
        <f>IF(G109&lt;3.55,3.55,IF(G109&lt;5.17,G109,5.17))</f>
        <v>4.3570000000000002</v>
      </c>
      <c r="H54" s="311">
        <f>IF(H109&lt;3.55,3.55,IF(H109&lt;5.17,H109,5.17))</f>
        <v>4.32</v>
      </c>
      <c r="I54" s="311">
        <f>IF(I109&lt;3.55,3.55,IF(I109&lt;5.17,I109,5.17))</f>
        <v>3.8570000000000002</v>
      </c>
      <c r="J54" s="311">
        <f>IF(J109&lt;3.55,3.55,IF(J109&lt;5.17,J109,5.17))</f>
        <v>3.7589999999999999</v>
      </c>
      <c r="K54" s="311">
        <f>IF(K109&lt;3.66,3.66,IF(K109&lt;5.75,K109,5.75))</f>
        <v>3.66</v>
      </c>
      <c r="L54" s="311">
        <f>IF(L109&lt;3.6,3.6,IF(L109&lt;5.67,L109,5.67))</f>
        <v>3.6</v>
      </c>
      <c r="M54" s="311">
        <f>IF(M109&lt;3.6,3.6,IF(M109&lt;5.67,M109,5.67))</f>
        <v>3.6</v>
      </c>
      <c r="N54" s="311">
        <f>IF(N109&lt;3.6,3.6,IF(N109&lt;5.67,N109,5.67))</f>
        <v>3.6</v>
      </c>
      <c r="O54" s="311">
        <f>IF(O109&lt;3.6,3.6,IF(O109&lt;5.67,O109,5.67))</f>
        <v>3.6</v>
      </c>
      <c r="P54" s="311">
        <f>IF(P109&lt;3.4,3.4,IF(P109&lt;5.5,P109,5.5))</f>
        <v>3.4</v>
      </c>
      <c r="Q54" s="311">
        <f>IF(Q109&lt;3.4,3.4,IF(Q109&lt;5.5,Q109,5.5))</f>
        <v>3.4</v>
      </c>
      <c r="R54" s="311">
        <f>IF(R109&lt;3.4,3.4,IF(R109&lt;5.5,R109,5.5))</f>
        <v>3.4</v>
      </c>
      <c r="S54" s="17">
        <f>S53/S51</f>
        <v>3.7031946964410327</v>
      </c>
      <c r="W54" s="16" t="s">
        <v>840</v>
      </c>
      <c r="X54" s="311">
        <f>IF(X109&lt;3.4,3.4,IF(X109&lt;5.5,X109,5.5))</f>
        <v>3.4</v>
      </c>
      <c r="Y54" s="311">
        <f>IF(Y109&lt;3.4,3.4,IF(Y109&lt;5.5,Y109,5.5))</f>
        <v>3.4</v>
      </c>
      <c r="Z54" s="311">
        <f>IF(Z109&lt;3.4,3.4,IF(Z109&lt;5.5,Z109,5.5))</f>
        <v>3.4</v>
      </c>
      <c r="AA54" s="311">
        <f>IF(AA109&lt;3.4,3.4,IF(AA109&lt;5.5,AA109,5.5))</f>
        <v>3.4</v>
      </c>
      <c r="AB54" s="311">
        <f>IF(AB109&lt;3,3,IF(AB109&lt;5.25,AB109,5.25))</f>
        <v>3.2189999999999999</v>
      </c>
      <c r="AC54" s="311">
        <f t="shared" ref="AC54:AF54" si="61">IF(AC109&lt;3,3,IF(AC109&lt;5.25,AC109,5.25))</f>
        <v>3.4510000000000001</v>
      </c>
      <c r="AD54" s="311">
        <f t="shared" si="61"/>
        <v>3.581</v>
      </c>
      <c r="AE54" s="311">
        <f t="shared" si="61"/>
        <v>3.5870000000000002</v>
      </c>
      <c r="AF54" s="311">
        <f t="shared" si="61"/>
        <v>3.5449999999999999</v>
      </c>
      <c r="AG54" s="311">
        <f>IF(AG109&lt;2.85,2.85,IF(AG109&lt;4.5,AG109,4.5))</f>
        <v>3.5070000000000001</v>
      </c>
      <c r="AH54" s="311">
        <f t="shared" ref="AH54:AI54" si="62">IF(AH109&lt;2.85,2.85,IF(AH109&lt;4.5,AH109,4.5))</f>
        <v>3.5249999999999999</v>
      </c>
      <c r="AI54" s="311">
        <f t="shared" si="62"/>
        <v>3.56</v>
      </c>
      <c r="AJ54" s="34">
        <f>AJ53/AJ51</f>
        <v>3.4586886075949366</v>
      </c>
      <c r="AN54" s="16" t="s">
        <v>840</v>
      </c>
      <c r="AO54" s="311">
        <f t="shared" ref="AO54:AR54" si="63">IF(AO109&lt;2.85,2.85,IF(AO109&lt;4.5,AO109,4.5))</f>
        <v>3.6040000000000001</v>
      </c>
      <c r="AP54" s="311">
        <f t="shared" si="63"/>
        <v>3.6269999999999998</v>
      </c>
      <c r="AQ54" s="311">
        <f t="shared" si="63"/>
        <v>3.6320000000000001</v>
      </c>
      <c r="AR54" s="311">
        <f t="shared" si="63"/>
        <v>3.6659999999999999</v>
      </c>
      <c r="BA54" s="34">
        <f>BA53/BA51</f>
        <v>3.6322520325203254</v>
      </c>
    </row>
    <row r="55" spans="5:53" s="16" customFormat="1">
      <c r="E55" s="358"/>
      <c r="F55" s="10" t="s">
        <v>841</v>
      </c>
      <c r="S55" s="131">
        <f>SUM(G55:R55)</f>
        <v>0</v>
      </c>
      <c r="T55" s="124"/>
      <c r="W55" s="10" t="s">
        <v>779</v>
      </c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34"/>
      <c r="AN55" s="10" t="s">
        <v>779</v>
      </c>
      <c r="BA55" s="34"/>
    </row>
    <row r="56" spans="5:53" s="16" customFormat="1">
      <c r="E56" s="358"/>
      <c r="F56" s="10" t="s">
        <v>842</v>
      </c>
      <c r="S56" s="28">
        <f>S55/SUM(H1:I1)</f>
        <v>0</v>
      </c>
      <c r="W56" s="10" t="s">
        <v>780</v>
      </c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34"/>
      <c r="AN56" s="10" t="s">
        <v>780</v>
      </c>
      <c r="BA56" s="34"/>
    </row>
    <row r="57" spans="5:53" s="16" customFormat="1">
      <c r="E57" s="358"/>
      <c r="F57" s="10" t="s">
        <v>843</v>
      </c>
      <c r="S57" s="197">
        <f>SUM(G57:R57)</f>
        <v>0</v>
      </c>
      <c r="W57" s="10" t="s">
        <v>781</v>
      </c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34"/>
      <c r="AN57" s="10" t="s">
        <v>781</v>
      </c>
      <c r="BA57" s="34"/>
    </row>
    <row r="58" spans="5:53" s="16" customFormat="1">
      <c r="E58" s="358"/>
      <c r="F58" s="16" t="s">
        <v>844</v>
      </c>
      <c r="S58" s="195"/>
      <c r="W58" s="16" t="s">
        <v>782</v>
      </c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34"/>
      <c r="AN58" s="16" t="s">
        <v>782</v>
      </c>
      <c r="BA58" s="34"/>
    </row>
    <row r="59" spans="5:53">
      <c r="F59" s="10" t="s">
        <v>783</v>
      </c>
      <c r="G59" s="22">
        <f t="shared" ref="G59:P59" si="64">G60*G1</f>
        <v>0</v>
      </c>
      <c r="H59" s="22">
        <f t="shared" si="64"/>
        <v>0</v>
      </c>
      <c r="I59" s="22">
        <f t="shared" si="64"/>
        <v>0</v>
      </c>
      <c r="J59" s="22">
        <f t="shared" si="64"/>
        <v>0</v>
      </c>
      <c r="K59" s="22">
        <f t="shared" si="64"/>
        <v>0</v>
      </c>
      <c r="L59" s="22">
        <f t="shared" si="64"/>
        <v>0</v>
      </c>
      <c r="M59" s="22">
        <f t="shared" si="64"/>
        <v>0</v>
      </c>
      <c r="N59" s="22">
        <f t="shared" si="64"/>
        <v>0</v>
      </c>
      <c r="O59" s="22">
        <f t="shared" si="64"/>
        <v>0</v>
      </c>
      <c r="P59" s="22">
        <f t="shared" si="64"/>
        <v>0</v>
      </c>
      <c r="Q59" s="22"/>
      <c r="R59" s="22"/>
      <c r="S59" s="131">
        <f>SUM(G59:R59)</f>
        <v>0</v>
      </c>
      <c r="T59" s="124"/>
      <c r="W59" s="10" t="s">
        <v>783</v>
      </c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8"/>
      <c r="AI59" s="28"/>
      <c r="AJ59" s="22">
        <f>SUM(X59:AI59)</f>
        <v>0</v>
      </c>
      <c r="AN59" s="10" t="s">
        <v>783</v>
      </c>
      <c r="AO59" s="22">
        <v>0</v>
      </c>
      <c r="AP59" s="22">
        <v>0</v>
      </c>
      <c r="AQ59" s="22">
        <v>0</v>
      </c>
      <c r="AR59" s="22">
        <v>0</v>
      </c>
      <c r="AS59" s="22">
        <v>0</v>
      </c>
      <c r="AT59" s="22">
        <v>0</v>
      </c>
      <c r="AU59" s="22">
        <v>0</v>
      </c>
      <c r="AV59" s="22">
        <v>0</v>
      </c>
      <c r="AW59" s="22">
        <v>0</v>
      </c>
      <c r="AX59" s="22">
        <v>0</v>
      </c>
      <c r="AY59" s="22">
        <v>0</v>
      </c>
      <c r="AZ59" s="22">
        <v>0</v>
      </c>
      <c r="BA59" s="59">
        <f>SUM(AO59:AZ59)</f>
        <v>0</v>
      </c>
    </row>
    <row r="60" spans="5:53">
      <c r="F60" s="10" t="s">
        <v>784</v>
      </c>
      <c r="G60" s="132"/>
      <c r="H60" s="132"/>
      <c r="I60" s="132"/>
      <c r="J60" s="132"/>
      <c r="K60" s="132"/>
      <c r="L60" s="132"/>
      <c r="M60" s="132"/>
      <c r="N60" s="132"/>
      <c r="O60" s="132"/>
      <c r="P60" s="132"/>
      <c r="Q60" s="132"/>
      <c r="R60" s="132"/>
      <c r="S60" s="28">
        <f>S59/SUM(G1:O1)</f>
        <v>0</v>
      </c>
      <c r="W60" s="10" t="s">
        <v>784</v>
      </c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2">
        <f>AJ59/SUM(X1:AA1)</f>
        <v>0</v>
      </c>
      <c r="AN60" s="10" t="s">
        <v>784</v>
      </c>
      <c r="AO60" s="22" t="e">
        <f t="shared" ref="AO60:BA60" si="65">AO59/AO13</f>
        <v>#DIV/0!</v>
      </c>
      <c r="AP60" s="22" t="e">
        <f t="shared" si="65"/>
        <v>#DIV/0!</v>
      </c>
      <c r="AQ60" s="22" t="e">
        <f t="shared" si="65"/>
        <v>#DIV/0!</v>
      </c>
      <c r="AR60" s="22">
        <f t="shared" si="65"/>
        <v>0</v>
      </c>
      <c r="AS60" s="22">
        <f t="shared" si="65"/>
        <v>0</v>
      </c>
      <c r="AT60" s="22" t="e">
        <f t="shared" si="65"/>
        <v>#DIV/0!</v>
      </c>
      <c r="AU60" s="22">
        <f t="shared" si="65"/>
        <v>0</v>
      </c>
      <c r="AV60" s="22">
        <f t="shared" si="65"/>
        <v>0</v>
      </c>
      <c r="AW60" s="22">
        <f t="shared" si="65"/>
        <v>0</v>
      </c>
      <c r="AX60" s="22">
        <f t="shared" si="65"/>
        <v>0</v>
      </c>
      <c r="AY60" s="22" t="e">
        <f t="shared" si="65"/>
        <v>#DIV/0!</v>
      </c>
      <c r="AZ60" s="22">
        <f t="shared" si="65"/>
        <v>0</v>
      </c>
      <c r="BA60" s="22">
        <f t="shared" si="65"/>
        <v>0</v>
      </c>
    </row>
    <row r="61" spans="5:53">
      <c r="F61" s="10" t="s">
        <v>785</v>
      </c>
      <c r="G61" s="32">
        <f t="shared" ref="G61:R61" si="66">G59*G62</f>
        <v>0</v>
      </c>
      <c r="H61" s="32">
        <f t="shared" si="66"/>
        <v>0</v>
      </c>
      <c r="I61" s="32">
        <f t="shared" si="66"/>
        <v>0</v>
      </c>
      <c r="J61" s="32">
        <f t="shared" si="66"/>
        <v>0</v>
      </c>
      <c r="K61" s="32">
        <f t="shared" si="66"/>
        <v>0</v>
      </c>
      <c r="L61" s="32">
        <f t="shared" si="66"/>
        <v>0</v>
      </c>
      <c r="M61" s="32">
        <f t="shared" si="66"/>
        <v>0</v>
      </c>
      <c r="N61" s="32">
        <f t="shared" si="66"/>
        <v>0</v>
      </c>
      <c r="O61" s="32">
        <f t="shared" si="66"/>
        <v>0</v>
      </c>
      <c r="P61" s="32">
        <f t="shared" si="66"/>
        <v>0</v>
      </c>
      <c r="Q61" s="32">
        <f t="shared" si="66"/>
        <v>0</v>
      </c>
      <c r="R61" s="32">
        <f t="shared" si="66"/>
        <v>0</v>
      </c>
      <c r="S61" s="197">
        <f>SUM(G61:R61)</f>
        <v>0</v>
      </c>
      <c r="W61" s="10" t="s">
        <v>785</v>
      </c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44"/>
      <c r="AI61" s="344"/>
      <c r="AJ61" s="43">
        <f>SUM(X61:AI61)</f>
        <v>0</v>
      </c>
      <c r="AN61" s="10" t="s">
        <v>785</v>
      </c>
      <c r="AO61" s="112"/>
      <c r="AP61" s="112"/>
      <c r="AQ61" s="112"/>
      <c r="AR61" s="112"/>
      <c r="AS61" s="112"/>
      <c r="AT61" s="112"/>
      <c r="AU61" s="112"/>
      <c r="AV61" s="112"/>
      <c r="AW61" s="112"/>
      <c r="AX61" s="112"/>
      <c r="AY61" s="112"/>
      <c r="AZ61" s="112"/>
      <c r="BA61" s="43">
        <f>SUM(AO61:AZ61)</f>
        <v>0</v>
      </c>
    </row>
    <row r="62" spans="5:53" s="16" customFormat="1">
      <c r="E62" s="358"/>
      <c r="F62" s="16" t="s">
        <v>786</v>
      </c>
      <c r="G62" s="311"/>
      <c r="H62" s="146"/>
      <c r="I62" s="146"/>
      <c r="J62" s="146"/>
      <c r="K62" s="146"/>
      <c r="L62" s="146"/>
      <c r="M62" s="146"/>
      <c r="N62" s="146"/>
      <c r="O62" s="146"/>
      <c r="P62" s="146"/>
      <c r="Q62" s="146"/>
      <c r="R62" s="146"/>
      <c r="S62" s="195" t="e">
        <f>S61/S59</f>
        <v>#DIV/0!</v>
      </c>
      <c r="W62" s="16" t="s">
        <v>786</v>
      </c>
      <c r="X62" s="392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34" t="e">
        <f>AJ61/AJ59</f>
        <v>#DIV/0!</v>
      </c>
      <c r="AN62" s="16" t="s">
        <v>786</v>
      </c>
      <c r="AO62" s="16" t="e">
        <f t="shared" ref="AO62:BA62" si="67">AO61/AO59</f>
        <v>#DIV/0!</v>
      </c>
      <c r="AP62" s="16" t="e">
        <f t="shared" si="67"/>
        <v>#DIV/0!</v>
      </c>
      <c r="AQ62" s="16" t="e">
        <f t="shared" si="67"/>
        <v>#DIV/0!</v>
      </c>
      <c r="AR62" s="16" t="e">
        <f t="shared" si="67"/>
        <v>#DIV/0!</v>
      </c>
      <c r="AS62" s="16" t="e">
        <f t="shared" si="67"/>
        <v>#DIV/0!</v>
      </c>
      <c r="AT62" s="16" t="e">
        <f t="shared" si="67"/>
        <v>#DIV/0!</v>
      </c>
      <c r="AU62" s="16" t="e">
        <f t="shared" si="67"/>
        <v>#DIV/0!</v>
      </c>
      <c r="AV62" s="16" t="e">
        <f t="shared" si="67"/>
        <v>#DIV/0!</v>
      </c>
      <c r="AW62" s="16" t="e">
        <f t="shared" si="67"/>
        <v>#DIV/0!</v>
      </c>
      <c r="AX62" s="16" t="e">
        <f t="shared" si="67"/>
        <v>#DIV/0!</v>
      </c>
      <c r="AY62" s="16" t="e">
        <f t="shared" si="67"/>
        <v>#DIV/0!</v>
      </c>
      <c r="AZ62" s="16" t="e">
        <f t="shared" si="67"/>
        <v>#DIV/0!</v>
      </c>
      <c r="BA62" s="34" t="e">
        <f t="shared" si="67"/>
        <v>#DIV/0!</v>
      </c>
    </row>
    <row r="63" spans="5:53">
      <c r="F63" s="10" t="s">
        <v>787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131">
        <f>SUM(G63:R63)</f>
        <v>0</v>
      </c>
      <c r="T63" s="124"/>
      <c r="W63" s="10" t="s">
        <v>787</v>
      </c>
      <c r="X63" s="22"/>
      <c r="Y63" s="22"/>
      <c r="Z63" s="22"/>
      <c r="AA63" s="22"/>
      <c r="AB63" s="28"/>
      <c r="AC63" s="28"/>
      <c r="AD63" s="28"/>
      <c r="AE63" s="28"/>
      <c r="AF63" s="28"/>
      <c r="AG63" s="28"/>
      <c r="AH63" s="28"/>
      <c r="AI63" s="28"/>
      <c r="AJ63" s="59">
        <f>SUM(X63:AI63)</f>
        <v>0</v>
      </c>
      <c r="AN63" s="10" t="s">
        <v>787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59">
        <f>SUM(AO63:AZ63)</f>
        <v>0</v>
      </c>
    </row>
    <row r="64" spans="5:53">
      <c r="F64" s="10" t="s">
        <v>788</v>
      </c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8">
        <f>S63/SUM(H1:I1)</f>
        <v>0</v>
      </c>
      <c r="W64" s="10" t="s">
        <v>788</v>
      </c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2"/>
      <c r="AN64" s="10" t="s">
        <v>788</v>
      </c>
      <c r="AO64" s="22" t="e">
        <f t="shared" ref="AO64:BA64" si="68">AO63/AO17</f>
        <v>#DIV/0!</v>
      </c>
      <c r="AP64" s="22" t="e">
        <f t="shared" si="68"/>
        <v>#DIV/0!</v>
      </c>
      <c r="AQ64" s="22" t="e">
        <f t="shared" si="68"/>
        <v>#DIV/0!</v>
      </c>
      <c r="AR64" s="22" t="e">
        <f t="shared" si="68"/>
        <v>#DIV/0!</v>
      </c>
      <c r="AS64" s="22" t="e">
        <f t="shared" si="68"/>
        <v>#DIV/0!</v>
      </c>
      <c r="AT64" s="22" t="e">
        <f t="shared" si="68"/>
        <v>#DIV/0!</v>
      </c>
      <c r="AU64" s="22" t="e">
        <f t="shared" si="68"/>
        <v>#DIV/0!</v>
      </c>
      <c r="AV64" s="22" t="e">
        <f t="shared" si="68"/>
        <v>#DIV/0!</v>
      </c>
      <c r="AW64" s="22" t="e">
        <f t="shared" si="68"/>
        <v>#DIV/0!</v>
      </c>
      <c r="AX64" s="22" t="e">
        <f t="shared" si="68"/>
        <v>#DIV/0!</v>
      </c>
      <c r="AY64" s="22" t="e">
        <f t="shared" si="68"/>
        <v>#DIV/0!</v>
      </c>
      <c r="AZ64" s="22" t="e">
        <f t="shared" si="68"/>
        <v>#DIV/0!</v>
      </c>
      <c r="BA64" s="22" t="e">
        <f t="shared" si="68"/>
        <v>#DIV/0!</v>
      </c>
    </row>
    <row r="65" spans="5:53">
      <c r="F65" s="10" t="s">
        <v>789</v>
      </c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97">
        <f>SUM(G65:R65)</f>
        <v>0</v>
      </c>
      <c r="W65" s="10" t="s">
        <v>789</v>
      </c>
      <c r="X65" s="344"/>
      <c r="Y65" s="344"/>
      <c r="Z65" s="344"/>
      <c r="AA65" s="344"/>
      <c r="AB65" s="344"/>
      <c r="AC65" s="344"/>
      <c r="AD65" s="344"/>
      <c r="AE65" s="344"/>
      <c r="AF65" s="344"/>
      <c r="AG65" s="344"/>
      <c r="AH65" s="344"/>
      <c r="AI65" s="344"/>
      <c r="AJ65" s="43">
        <f>SUM(X65:AI65)</f>
        <v>0</v>
      </c>
      <c r="AN65" s="10" t="s">
        <v>789</v>
      </c>
      <c r="AO65" s="112"/>
      <c r="AP65" s="112"/>
      <c r="AQ65" s="112"/>
      <c r="AR65" s="112"/>
      <c r="AS65" s="112"/>
      <c r="AT65" s="112"/>
      <c r="AU65" s="112"/>
      <c r="AV65" s="112"/>
      <c r="AW65" s="112"/>
      <c r="AX65" s="112"/>
      <c r="AY65" s="112"/>
      <c r="AZ65" s="112"/>
      <c r="BA65" s="43">
        <f>SUM(AO65:AZ65)</f>
        <v>0</v>
      </c>
    </row>
    <row r="66" spans="5:53" s="16" customFormat="1">
      <c r="E66" s="358"/>
      <c r="F66" s="16" t="s">
        <v>790</v>
      </c>
      <c r="S66" s="195" t="e">
        <f>S65/S63</f>
        <v>#DIV/0!</v>
      </c>
      <c r="W66" s="16" t="s">
        <v>790</v>
      </c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34"/>
      <c r="AN66" s="16" t="s">
        <v>790</v>
      </c>
      <c r="AO66" s="16" t="e">
        <f t="shared" ref="AO66:BA66" si="69">AO65/AO63</f>
        <v>#DIV/0!</v>
      </c>
      <c r="AP66" s="16" t="e">
        <f t="shared" si="69"/>
        <v>#DIV/0!</v>
      </c>
      <c r="AQ66" s="16" t="e">
        <f t="shared" si="69"/>
        <v>#DIV/0!</v>
      </c>
      <c r="AR66" s="16" t="e">
        <f t="shared" si="69"/>
        <v>#DIV/0!</v>
      </c>
      <c r="AS66" s="16" t="e">
        <f t="shared" si="69"/>
        <v>#DIV/0!</v>
      </c>
      <c r="AT66" s="16" t="e">
        <f t="shared" si="69"/>
        <v>#DIV/0!</v>
      </c>
      <c r="AU66" s="16" t="e">
        <f t="shared" si="69"/>
        <v>#DIV/0!</v>
      </c>
      <c r="AV66" s="16" t="e">
        <f t="shared" si="69"/>
        <v>#DIV/0!</v>
      </c>
      <c r="AW66" s="16" t="e">
        <f t="shared" si="69"/>
        <v>#DIV/0!</v>
      </c>
      <c r="AX66" s="16" t="e">
        <f t="shared" si="69"/>
        <v>#DIV/0!</v>
      </c>
      <c r="AY66" s="16" t="e">
        <f t="shared" si="69"/>
        <v>#DIV/0!</v>
      </c>
      <c r="AZ66" s="16" t="e">
        <f t="shared" si="69"/>
        <v>#DIV/0!</v>
      </c>
      <c r="BA66" s="34" t="e">
        <f t="shared" si="69"/>
        <v>#DIV/0!</v>
      </c>
    </row>
    <row r="67" spans="5:53" s="16" customFormat="1">
      <c r="E67" s="358"/>
      <c r="F67" s="10" t="s">
        <v>791</v>
      </c>
      <c r="G67" s="22">
        <f>G68*G1</f>
        <v>77500</v>
      </c>
      <c r="H67" s="22">
        <f t="shared" ref="H67:R67" si="70">H68*H1</f>
        <v>77500</v>
      </c>
      <c r="I67" s="22">
        <f t="shared" si="70"/>
        <v>75000</v>
      </c>
      <c r="J67" s="22">
        <f t="shared" si="70"/>
        <v>77500</v>
      </c>
      <c r="K67" s="22">
        <f t="shared" si="70"/>
        <v>90000</v>
      </c>
      <c r="L67" s="22">
        <f t="shared" si="70"/>
        <v>108500</v>
      </c>
      <c r="M67" s="22">
        <f t="shared" si="70"/>
        <v>108500</v>
      </c>
      <c r="N67" s="22">
        <f t="shared" si="70"/>
        <v>101500</v>
      </c>
      <c r="O67" s="22">
        <f t="shared" si="70"/>
        <v>93000</v>
      </c>
      <c r="P67" s="22">
        <f t="shared" si="70"/>
        <v>75000</v>
      </c>
      <c r="Q67" s="22">
        <f t="shared" si="70"/>
        <v>93000</v>
      </c>
      <c r="R67" s="22">
        <f t="shared" si="70"/>
        <v>90000</v>
      </c>
      <c r="S67" s="131">
        <f>SUM(G67:R67)</f>
        <v>1067000</v>
      </c>
      <c r="W67" s="10" t="s">
        <v>791</v>
      </c>
      <c r="X67" s="28">
        <f>X68*X1</f>
        <v>93000</v>
      </c>
      <c r="Y67" s="28">
        <f t="shared" ref="Y67:AG67" si="71">Y68*Y1</f>
        <v>93000</v>
      </c>
      <c r="Z67" s="28">
        <f t="shared" si="71"/>
        <v>90000</v>
      </c>
      <c r="AA67" s="28">
        <f t="shared" si="71"/>
        <v>108500</v>
      </c>
      <c r="AB67" s="28">
        <f t="shared" si="71"/>
        <v>120000</v>
      </c>
      <c r="AC67" s="28">
        <f t="shared" si="71"/>
        <v>139500</v>
      </c>
      <c r="AD67" s="28">
        <f t="shared" si="71"/>
        <v>139500</v>
      </c>
      <c r="AE67" s="28">
        <f t="shared" si="71"/>
        <v>126000</v>
      </c>
      <c r="AF67" s="28">
        <f t="shared" si="71"/>
        <v>124000</v>
      </c>
      <c r="AG67" s="28">
        <f t="shared" si="71"/>
        <v>105000</v>
      </c>
      <c r="AH67" s="17"/>
      <c r="AI67" s="17"/>
      <c r="AJ67" s="131">
        <f>SUM(X67:AI67)</f>
        <v>1138500</v>
      </c>
      <c r="AN67" s="10" t="s">
        <v>791</v>
      </c>
      <c r="BA67" s="34"/>
    </row>
    <row r="68" spans="5:53" s="16" customFormat="1">
      <c r="E68" s="358"/>
      <c r="F68" s="10" t="s">
        <v>792</v>
      </c>
      <c r="G68" s="132">
        <v>2500</v>
      </c>
      <c r="H68" s="132">
        <v>2500</v>
      </c>
      <c r="I68" s="132">
        <v>2500</v>
      </c>
      <c r="J68" s="132">
        <v>2500</v>
      </c>
      <c r="K68" s="132">
        <v>3000</v>
      </c>
      <c r="L68" s="132">
        <v>3500</v>
      </c>
      <c r="M68" s="132">
        <v>3500</v>
      </c>
      <c r="N68" s="132">
        <v>3500</v>
      </c>
      <c r="O68" s="132">
        <v>3000</v>
      </c>
      <c r="P68" s="132">
        <v>2500</v>
      </c>
      <c r="Q68" s="394">
        <v>3000</v>
      </c>
      <c r="R68" s="394">
        <v>3000</v>
      </c>
      <c r="S68" s="131">
        <f>S67/SUM(G1:R1)</f>
        <v>2915.3005464480875</v>
      </c>
      <c r="W68" s="10" t="s">
        <v>792</v>
      </c>
      <c r="X68" s="28">
        <v>3000</v>
      </c>
      <c r="Y68" s="28">
        <v>3000</v>
      </c>
      <c r="Z68" s="28">
        <v>3000</v>
      </c>
      <c r="AA68" s="28">
        <v>3500</v>
      </c>
      <c r="AB68" s="28">
        <v>4000</v>
      </c>
      <c r="AC68" s="28">
        <v>4500</v>
      </c>
      <c r="AD68" s="28">
        <v>4500</v>
      </c>
      <c r="AE68" s="28">
        <v>4500</v>
      </c>
      <c r="AF68" s="28">
        <v>4000</v>
      </c>
      <c r="AG68" s="28">
        <v>3500</v>
      </c>
      <c r="AH68" s="17"/>
      <c r="AI68" s="17"/>
      <c r="AJ68" s="131">
        <f>AJ67/SUM(X1:AG1)</f>
        <v>3745.0657894736842</v>
      </c>
      <c r="AN68" s="10" t="s">
        <v>792</v>
      </c>
      <c r="BA68" s="34"/>
    </row>
    <row r="69" spans="5:53" s="16" customFormat="1">
      <c r="E69" s="358"/>
      <c r="F69" s="10" t="s">
        <v>793</v>
      </c>
      <c r="G69" s="32">
        <f t="shared" ref="G69:R69" si="72">G67*G70</f>
        <v>364250</v>
      </c>
      <c r="H69" s="32">
        <f t="shared" si="72"/>
        <v>364250</v>
      </c>
      <c r="I69" s="32">
        <f t="shared" si="72"/>
        <v>352500</v>
      </c>
      <c r="J69" s="32">
        <f t="shared" si="72"/>
        <v>364250</v>
      </c>
      <c r="K69" s="32">
        <f t="shared" si="72"/>
        <v>423000</v>
      </c>
      <c r="L69" s="32">
        <f t="shared" si="72"/>
        <v>509950</v>
      </c>
      <c r="M69" s="32">
        <f t="shared" si="72"/>
        <v>509950</v>
      </c>
      <c r="N69" s="32">
        <f t="shared" si="72"/>
        <v>477050</v>
      </c>
      <c r="O69" s="32">
        <f t="shared" si="72"/>
        <v>437100</v>
      </c>
      <c r="P69" s="32">
        <f t="shared" si="72"/>
        <v>352500</v>
      </c>
      <c r="Q69" s="32">
        <f t="shared" si="72"/>
        <v>250170</v>
      </c>
      <c r="R69" s="32">
        <f t="shared" si="72"/>
        <v>242100</v>
      </c>
      <c r="S69" s="197">
        <f>SUM(G69:R69)</f>
        <v>4647070</v>
      </c>
      <c r="W69" s="10" t="s">
        <v>793</v>
      </c>
      <c r="X69" s="39">
        <f>X70*X67</f>
        <v>250170</v>
      </c>
      <c r="Y69" s="39">
        <f t="shared" ref="Y69:AG69" si="73">Y70*Y67</f>
        <v>250170</v>
      </c>
      <c r="Z69" s="39">
        <f t="shared" si="73"/>
        <v>242100</v>
      </c>
      <c r="AA69" s="39">
        <f t="shared" si="73"/>
        <v>291865</v>
      </c>
      <c r="AB69" s="39">
        <f t="shared" si="73"/>
        <v>322800</v>
      </c>
      <c r="AC69" s="39">
        <f t="shared" si="73"/>
        <v>375255</v>
      </c>
      <c r="AD69" s="39">
        <f t="shared" si="73"/>
        <v>375255</v>
      </c>
      <c r="AE69" s="39">
        <f t="shared" si="73"/>
        <v>338940</v>
      </c>
      <c r="AF69" s="39">
        <f t="shared" si="73"/>
        <v>333560</v>
      </c>
      <c r="AG69" s="39">
        <f t="shared" si="73"/>
        <v>282450</v>
      </c>
      <c r="AH69" s="17"/>
      <c r="AI69" s="17"/>
      <c r="AJ69" s="197">
        <f>SUM(X69:AI69)</f>
        <v>3062565</v>
      </c>
      <c r="AN69" s="10" t="s">
        <v>793</v>
      </c>
      <c r="BA69" s="34"/>
    </row>
    <row r="70" spans="5:53" s="16" customFormat="1">
      <c r="E70" s="358"/>
      <c r="F70" s="16" t="s">
        <v>794</v>
      </c>
      <c r="G70" s="311">
        <v>4.7</v>
      </c>
      <c r="H70" s="146">
        <v>4.7</v>
      </c>
      <c r="I70" s="146">
        <v>4.7</v>
      </c>
      <c r="J70" s="146">
        <v>4.7</v>
      </c>
      <c r="K70" s="146">
        <v>4.7</v>
      </c>
      <c r="L70" s="146">
        <v>4.7</v>
      </c>
      <c r="M70" s="146">
        <v>4.7</v>
      </c>
      <c r="N70" s="146">
        <v>4.7</v>
      </c>
      <c r="O70" s="146">
        <v>4.7</v>
      </c>
      <c r="P70" s="146">
        <v>4.7</v>
      </c>
      <c r="Q70" s="410">
        <v>2.69</v>
      </c>
      <c r="R70" s="410">
        <v>2.69</v>
      </c>
      <c r="S70" s="195">
        <f>S69/S67</f>
        <v>4.3552671040299904</v>
      </c>
      <c r="W70" s="16" t="s">
        <v>794</v>
      </c>
      <c r="X70" s="392">
        <v>2.69</v>
      </c>
      <c r="Y70" s="392">
        <v>2.69</v>
      </c>
      <c r="Z70" s="392">
        <v>2.69</v>
      </c>
      <c r="AA70" s="392">
        <v>2.69</v>
      </c>
      <c r="AB70" s="392">
        <v>2.69</v>
      </c>
      <c r="AC70" s="392">
        <v>2.69</v>
      </c>
      <c r="AD70" s="392">
        <v>2.69</v>
      </c>
      <c r="AE70" s="392">
        <v>2.69</v>
      </c>
      <c r="AF70" s="392">
        <v>2.69</v>
      </c>
      <c r="AG70" s="392">
        <v>2.69</v>
      </c>
      <c r="AH70" s="17"/>
      <c r="AI70" s="17"/>
      <c r="AJ70" s="195">
        <f>AJ69/AJ67</f>
        <v>2.69</v>
      </c>
      <c r="AN70" s="16" t="s">
        <v>794</v>
      </c>
      <c r="BA70" s="34"/>
    </row>
    <row r="71" spans="5:53" s="16" customFormat="1">
      <c r="E71" s="358"/>
      <c r="F71" s="10" t="s">
        <v>797</v>
      </c>
      <c r="S71" s="131">
        <f>SUM(G71:R71)</f>
        <v>0</v>
      </c>
      <c r="W71" s="10" t="s">
        <v>797</v>
      </c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34"/>
      <c r="AN71" s="10" t="s">
        <v>797</v>
      </c>
      <c r="BA71" s="34"/>
    </row>
    <row r="72" spans="5:53" s="16" customFormat="1">
      <c r="E72" s="358"/>
      <c r="F72" s="10" t="s">
        <v>798</v>
      </c>
      <c r="S72" s="28">
        <f>S71/SUM(K1:O1)</f>
        <v>0</v>
      </c>
      <c r="W72" s="10" t="s">
        <v>798</v>
      </c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34"/>
      <c r="AN72" s="10" t="s">
        <v>798</v>
      </c>
      <c r="BA72" s="34"/>
    </row>
    <row r="73" spans="5:53" s="16" customFormat="1">
      <c r="E73" s="358"/>
      <c r="F73" s="10" t="s">
        <v>799</v>
      </c>
      <c r="S73" s="197">
        <f>SUM(G73:R73)</f>
        <v>0</v>
      </c>
      <c r="W73" s="10" t="s">
        <v>799</v>
      </c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34"/>
      <c r="AN73" s="10" t="s">
        <v>799</v>
      </c>
      <c r="BA73" s="34"/>
    </row>
    <row r="74" spans="5:53" s="16" customFormat="1">
      <c r="E74" s="358"/>
      <c r="F74" s="16" t="s">
        <v>800</v>
      </c>
      <c r="S74" s="195" t="e">
        <f>S73/S71</f>
        <v>#DIV/0!</v>
      </c>
      <c r="W74" s="16" t="s">
        <v>800</v>
      </c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34"/>
      <c r="AN74" s="16" t="s">
        <v>800</v>
      </c>
      <c r="BA74" s="34"/>
    </row>
    <row r="75" spans="5:53" s="16" customFormat="1">
      <c r="E75" s="358"/>
      <c r="H75" s="295"/>
      <c r="I75" s="295"/>
      <c r="J75" s="348"/>
      <c r="K75" s="348"/>
      <c r="L75" s="348"/>
      <c r="M75" s="348"/>
      <c r="N75" s="348"/>
      <c r="O75" s="348"/>
      <c r="P75" s="348"/>
      <c r="S75" s="195"/>
      <c r="AJ75" s="34"/>
      <c r="BA75" s="34"/>
    </row>
    <row r="77" spans="5:53" s="16" customFormat="1">
      <c r="E77" s="358"/>
      <c r="F77" s="11" t="s">
        <v>829</v>
      </c>
      <c r="G77" s="22">
        <f>SUM(G48,G52,G56,G60,G64)</f>
        <v>7500</v>
      </c>
      <c r="H77" s="22">
        <f t="shared" ref="H77:R77" si="74">SUM(H48,H52,H56,H60,H64)</f>
        <v>7500</v>
      </c>
      <c r="I77" s="22">
        <f t="shared" si="74"/>
        <v>7500</v>
      </c>
      <c r="J77" s="22">
        <f t="shared" si="74"/>
        <v>7500</v>
      </c>
      <c r="K77" s="22">
        <f t="shared" si="74"/>
        <v>12500</v>
      </c>
      <c r="L77" s="22">
        <f t="shared" si="74"/>
        <v>15000</v>
      </c>
      <c r="M77" s="22">
        <f t="shared" si="74"/>
        <v>15000</v>
      </c>
      <c r="N77" s="22">
        <f t="shared" si="74"/>
        <v>15000</v>
      </c>
      <c r="O77" s="22">
        <f t="shared" si="74"/>
        <v>15000</v>
      </c>
      <c r="P77" s="22">
        <f t="shared" si="74"/>
        <v>5000</v>
      </c>
      <c r="Q77" s="22">
        <f t="shared" si="74"/>
        <v>5000</v>
      </c>
      <c r="R77" s="22">
        <f t="shared" si="74"/>
        <v>5000</v>
      </c>
      <c r="S77" s="131"/>
      <c r="W77" s="11" t="s">
        <v>829</v>
      </c>
      <c r="X77" s="22">
        <f>SUM(X52,X56,X60,X64)</f>
        <v>5000</v>
      </c>
      <c r="Y77" s="22">
        <f t="shared" ref="Y77:AI77" si="75">SUM(Y52,Y56,Y60,Y64)</f>
        <v>5000</v>
      </c>
      <c r="Z77" s="22">
        <f t="shared" si="75"/>
        <v>5000</v>
      </c>
      <c r="AA77" s="22">
        <f t="shared" si="75"/>
        <v>5000</v>
      </c>
      <c r="AB77" s="22">
        <f t="shared" si="75"/>
        <v>7500</v>
      </c>
      <c r="AC77" s="22">
        <f t="shared" si="75"/>
        <v>7500</v>
      </c>
      <c r="AD77" s="22">
        <f t="shared" si="75"/>
        <v>7500</v>
      </c>
      <c r="AE77" s="22">
        <f t="shared" si="75"/>
        <v>7500</v>
      </c>
      <c r="AF77" s="22">
        <f t="shared" si="75"/>
        <v>7500</v>
      </c>
      <c r="AG77" s="22">
        <f t="shared" si="75"/>
        <v>2500</v>
      </c>
      <c r="AH77" s="22">
        <f t="shared" si="75"/>
        <v>2500</v>
      </c>
      <c r="AI77" s="22">
        <f t="shared" si="75"/>
        <v>2500</v>
      </c>
      <c r="AJ77" s="59"/>
      <c r="AN77" s="11" t="s">
        <v>829</v>
      </c>
      <c r="BA77" s="34"/>
    </row>
    <row r="78" spans="5:53" s="16" customFormat="1">
      <c r="E78" s="358"/>
      <c r="F78" s="11" t="s">
        <v>769</v>
      </c>
      <c r="G78" s="22">
        <v>10000</v>
      </c>
      <c r="H78" s="22">
        <v>10000</v>
      </c>
      <c r="I78" s="22">
        <v>5000</v>
      </c>
      <c r="J78" s="22">
        <v>15000</v>
      </c>
      <c r="K78" s="22">
        <v>20000</v>
      </c>
      <c r="L78" s="22">
        <v>25000</v>
      </c>
      <c r="M78" s="22">
        <v>25000</v>
      </c>
      <c r="N78" s="22">
        <v>25000</v>
      </c>
      <c r="O78" s="22">
        <v>20000</v>
      </c>
      <c r="P78" s="22">
        <v>15000</v>
      </c>
      <c r="Q78" s="22">
        <v>15000</v>
      </c>
      <c r="R78" s="22">
        <v>10000</v>
      </c>
      <c r="S78" s="131"/>
      <c r="W78" s="11" t="s">
        <v>769</v>
      </c>
      <c r="X78" s="22">
        <v>10000</v>
      </c>
      <c r="Y78" s="22">
        <v>10000</v>
      </c>
      <c r="Z78" s="22">
        <v>5000</v>
      </c>
      <c r="AA78" s="22">
        <v>15000</v>
      </c>
      <c r="AB78" s="22">
        <v>20000</v>
      </c>
      <c r="AC78" s="22">
        <v>25000</v>
      </c>
      <c r="AD78" s="22">
        <v>25000</v>
      </c>
      <c r="AE78" s="22">
        <v>25000</v>
      </c>
      <c r="AF78" s="22">
        <v>20000</v>
      </c>
      <c r="AG78" s="22">
        <v>15000</v>
      </c>
      <c r="AH78" s="22">
        <v>15000</v>
      </c>
      <c r="AI78" s="22">
        <v>10000</v>
      </c>
      <c r="AJ78" s="59"/>
      <c r="AN78" s="11" t="s">
        <v>769</v>
      </c>
      <c r="BA78" s="34"/>
    </row>
    <row r="79" spans="5:53" s="16" customFormat="1">
      <c r="E79" s="358"/>
      <c r="F79" s="11" t="s">
        <v>770</v>
      </c>
      <c r="G79" s="22">
        <v>19700</v>
      </c>
      <c r="H79" s="22">
        <v>15100</v>
      </c>
      <c r="I79" s="22">
        <v>10900</v>
      </c>
      <c r="J79" s="22">
        <v>7500</v>
      </c>
      <c r="K79" s="22"/>
      <c r="L79" s="22"/>
      <c r="M79" s="22"/>
      <c r="N79" s="22"/>
      <c r="O79" s="22"/>
      <c r="P79" s="22">
        <v>8600</v>
      </c>
      <c r="Q79" s="22">
        <v>13900</v>
      </c>
      <c r="R79" s="22">
        <v>14200</v>
      </c>
      <c r="S79" s="131"/>
      <c r="W79" s="11" t="s">
        <v>770</v>
      </c>
      <c r="X79" s="22">
        <v>19700</v>
      </c>
      <c r="Y79" s="22">
        <v>15100</v>
      </c>
      <c r="Z79" s="22">
        <v>10900</v>
      </c>
      <c r="AA79" s="22">
        <v>7500</v>
      </c>
      <c r="AB79" s="22"/>
      <c r="AC79" s="22"/>
      <c r="AD79" s="22"/>
      <c r="AE79" s="22"/>
      <c r="AF79" s="22"/>
      <c r="AG79" s="22">
        <v>8600</v>
      </c>
      <c r="AH79" s="22">
        <v>13900</v>
      </c>
      <c r="AI79" s="22">
        <v>14200</v>
      </c>
      <c r="AJ79" s="59"/>
      <c r="AN79" s="11" t="s">
        <v>770</v>
      </c>
      <c r="BA79" s="34"/>
    </row>
    <row r="80" spans="5:53" s="16" customFormat="1">
      <c r="E80" s="358"/>
      <c r="F80" s="11" t="s">
        <v>830</v>
      </c>
      <c r="G80" s="22">
        <f>SUM(G78:G79)</f>
        <v>29700</v>
      </c>
      <c r="H80" s="22">
        <f t="shared" ref="H80:R80" si="76">SUM(H78:H79)</f>
        <v>25100</v>
      </c>
      <c r="I80" s="22">
        <f t="shared" si="76"/>
        <v>15900</v>
      </c>
      <c r="J80" s="22">
        <f t="shared" si="76"/>
        <v>22500</v>
      </c>
      <c r="K80" s="22">
        <f t="shared" si="76"/>
        <v>20000</v>
      </c>
      <c r="L80" s="22">
        <f t="shared" si="76"/>
        <v>25000</v>
      </c>
      <c r="M80" s="22">
        <f t="shared" si="76"/>
        <v>25000</v>
      </c>
      <c r="N80" s="22">
        <f t="shared" si="76"/>
        <v>25000</v>
      </c>
      <c r="O80" s="22">
        <f t="shared" si="76"/>
        <v>20000</v>
      </c>
      <c r="P80" s="22">
        <f t="shared" si="76"/>
        <v>23600</v>
      </c>
      <c r="Q80" s="22">
        <f t="shared" si="76"/>
        <v>28900</v>
      </c>
      <c r="R80" s="22">
        <f t="shared" si="76"/>
        <v>24200</v>
      </c>
      <c r="S80" s="131"/>
      <c r="W80" s="11" t="s">
        <v>830</v>
      </c>
      <c r="X80" s="22">
        <f t="shared" ref="X80:AI80" si="77">SUM(X78:X79)</f>
        <v>29700</v>
      </c>
      <c r="Y80" s="22">
        <f t="shared" si="77"/>
        <v>25100</v>
      </c>
      <c r="Z80" s="22">
        <f t="shared" si="77"/>
        <v>15900</v>
      </c>
      <c r="AA80" s="22">
        <f t="shared" si="77"/>
        <v>22500</v>
      </c>
      <c r="AB80" s="22">
        <f t="shared" si="77"/>
        <v>20000</v>
      </c>
      <c r="AC80" s="22">
        <f t="shared" si="77"/>
        <v>25000</v>
      </c>
      <c r="AD80" s="22">
        <f t="shared" si="77"/>
        <v>25000</v>
      </c>
      <c r="AE80" s="22">
        <f t="shared" si="77"/>
        <v>25000</v>
      </c>
      <c r="AF80" s="22">
        <f t="shared" si="77"/>
        <v>20000</v>
      </c>
      <c r="AG80" s="22">
        <f t="shared" si="77"/>
        <v>23600</v>
      </c>
      <c r="AH80" s="22">
        <f t="shared" si="77"/>
        <v>28900</v>
      </c>
      <c r="AI80" s="22">
        <f t="shared" si="77"/>
        <v>24200</v>
      </c>
      <c r="AJ80" s="59"/>
      <c r="AN80" s="11" t="s">
        <v>830</v>
      </c>
      <c r="BA80" s="34"/>
    </row>
    <row r="81" spans="5:53" s="16" customFormat="1">
      <c r="E81" s="358"/>
      <c r="F81" s="11" t="s">
        <v>832</v>
      </c>
      <c r="G81" s="22">
        <f>SUM(G68,G72)</f>
        <v>2500</v>
      </c>
      <c r="H81" s="22">
        <f t="shared" ref="H81:R81" si="78">SUM(H68,H72)</f>
        <v>2500</v>
      </c>
      <c r="I81" s="22">
        <f t="shared" si="78"/>
        <v>2500</v>
      </c>
      <c r="J81" s="22">
        <f t="shared" si="78"/>
        <v>2500</v>
      </c>
      <c r="K81" s="22">
        <f t="shared" si="78"/>
        <v>3000</v>
      </c>
      <c r="L81" s="22">
        <f t="shared" si="78"/>
        <v>3500</v>
      </c>
      <c r="M81" s="22">
        <f t="shared" si="78"/>
        <v>3500</v>
      </c>
      <c r="N81" s="22">
        <f t="shared" si="78"/>
        <v>3500</v>
      </c>
      <c r="O81" s="22">
        <f t="shared" si="78"/>
        <v>3000</v>
      </c>
      <c r="P81" s="22">
        <f t="shared" si="78"/>
        <v>2500</v>
      </c>
      <c r="Q81" s="22">
        <f t="shared" si="78"/>
        <v>3000</v>
      </c>
      <c r="R81" s="22">
        <f t="shared" si="78"/>
        <v>3000</v>
      </c>
      <c r="S81" s="131"/>
      <c r="W81" s="11" t="s">
        <v>832</v>
      </c>
      <c r="X81" s="22">
        <f>SUM(X68,X72)</f>
        <v>3000</v>
      </c>
      <c r="Y81" s="22">
        <f t="shared" ref="Y81:AI81" si="79">SUM(Y68,Y72)</f>
        <v>3000</v>
      </c>
      <c r="Z81" s="22">
        <f t="shared" si="79"/>
        <v>3000</v>
      </c>
      <c r="AA81" s="22">
        <f t="shared" si="79"/>
        <v>3500</v>
      </c>
      <c r="AB81" s="22">
        <f t="shared" si="79"/>
        <v>4000</v>
      </c>
      <c r="AC81" s="22">
        <f t="shared" si="79"/>
        <v>4500</v>
      </c>
      <c r="AD81" s="22">
        <f t="shared" si="79"/>
        <v>4500</v>
      </c>
      <c r="AE81" s="22">
        <f t="shared" si="79"/>
        <v>4500</v>
      </c>
      <c r="AF81" s="22">
        <f t="shared" si="79"/>
        <v>4000</v>
      </c>
      <c r="AG81" s="22">
        <f t="shared" si="79"/>
        <v>3500</v>
      </c>
      <c r="AH81" s="22">
        <f t="shared" si="79"/>
        <v>0</v>
      </c>
      <c r="AI81" s="22">
        <f t="shared" si="79"/>
        <v>0</v>
      </c>
      <c r="AJ81" s="59"/>
      <c r="AN81" s="11" t="s">
        <v>832</v>
      </c>
      <c r="BA81" s="34"/>
    </row>
    <row r="82" spans="5:53" s="16" customFormat="1">
      <c r="E82" s="358"/>
      <c r="F82" s="11" t="s">
        <v>771</v>
      </c>
      <c r="G82" s="22">
        <v>10000</v>
      </c>
      <c r="H82" s="22">
        <v>10000</v>
      </c>
      <c r="I82" s="22">
        <v>10000</v>
      </c>
      <c r="J82" s="22">
        <v>10000</v>
      </c>
      <c r="K82" s="22">
        <v>10000</v>
      </c>
      <c r="L82" s="22">
        <v>10000</v>
      </c>
      <c r="M82" s="22">
        <v>10000</v>
      </c>
      <c r="N82" s="22">
        <v>10000</v>
      </c>
      <c r="O82" s="22">
        <v>10000</v>
      </c>
      <c r="P82" s="22">
        <v>10000</v>
      </c>
      <c r="Q82" s="22">
        <v>10000</v>
      </c>
      <c r="R82" s="22">
        <v>10000</v>
      </c>
      <c r="S82" s="131"/>
      <c r="W82" s="11" t="s">
        <v>771</v>
      </c>
      <c r="X82" s="22">
        <v>10000</v>
      </c>
      <c r="Y82" s="22">
        <v>10000</v>
      </c>
      <c r="Z82" s="22">
        <v>10000</v>
      </c>
      <c r="AA82" s="22">
        <v>10000</v>
      </c>
      <c r="AB82" s="22">
        <v>10000</v>
      </c>
      <c r="AC82" s="22">
        <v>10000</v>
      </c>
      <c r="AD82" s="22">
        <v>10000</v>
      </c>
      <c r="AE82" s="22">
        <v>10000</v>
      </c>
      <c r="AF82" s="22">
        <v>10000</v>
      </c>
      <c r="AG82" s="22">
        <v>10000</v>
      </c>
      <c r="AH82" s="22">
        <v>10000</v>
      </c>
      <c r="AI82" s="22">
        <v>10000</v>
      </c>
      <c r="AJ82" s="59"/>
      <c r="AN82" s="11" t="s">
        <v>771</v>
      </c>
      <c r="BA82" s="34"/>
    </row>
    <row r="83" spans="5:53" s="16" customFormat="1">
      <c r="E83" s="358"/>
      <c r="F83" s="11" t="s">
        <v>772</v>
      </c>
      <c r="G83" s="22">
        <f>SUM(G80:G82)</f>
        <v>42200</v>
      </c>
      <c r="H83" s="22">
        <f t="shared" ref="H83:R83" si="80">SUM(H80:H82)</f>
        <v>37600</v>
      </c>
      <c r="I83" s="22">
        <f t="shared" si="80"/>
        <v>28400</v>
      </c>
      <c r="J83" s="22">
        <f t="shared" si="80"/>
        <v>35000</v>
      </c>
      <c r="K83" s="22">
        <f t="shared" si="80"/>
        <v>33000</v>
      </c>
      <c r="L83" s="22">
        <f t="shared" si="80"/>
        <v>38500</v>
      </c>
      <c r="M83" s="22">
        <f t="shared" si="80"/>
        <v>38500</v>
      </c>
      <c r="N83" s="22">
        <f t="shared" si="80"/>
        <v>38500</v>
      </c>
      <c r="O83" s="22">
        <f t="shared" si="80"/>
        <v>33000</v>
      </c>
      <c r="P83" s="22">
        <f t="shared" si="80"/>
        <v>36100</v>
      </c>
      <c r="Q83" s="22">
        <f t="shared" si="80"/>
        <v>41900</v>
      </c>
      <c r="R83" s="22">
        <f t="shared" si="80"/>
        <v>37200</v>
      </c>
      <c r="S83" s="131"/>
      <c r="W83" s="11" t="s">
        <v>772</v>
      </c>
      <c r="X83" s="22">
        <f t="shared" ref="X83:AI83" si="81">SUM(X80:X82)</f>
        <v>42700</v>
      </c>
      <c r="Y83" s="22">
        <f t="shared" si="81"/>
        <v>38100</v>
      </c>
      <c r="Z83" s="22">
        <f t="shared" si="81"/>
        <v>28900</v>
      </c>
      <c r="AA83" s="22">
        <f t="shared" si="81"/>
        <v>36000</v>
      </c>
      <c r="AB83" s="22">
        <f t="shared" si="81"/>
        <v>34000</v>
      </c>
      <c r="AC83" s="22">
        <f t="shared" si="81"/>
        <v>39500</v>
      </c>
      <c r="AD83" s="22">
        <f t="shared" si="81"/>
        <v>39500</v>
      </c>
      <c r="AE83" s="22">
        <f t="shared" si="81"/>
        <v>39500</v>
      </c>
      <c r="AF83" s="22">
        <f t="shared" si="81"/>
        <v>34000</v>
      </c>
      <c r="AG83" s="22">
        <f t="shared" si="81"/>
        <v>37100</v>
      </c>
      <c r="AH83" s="22">
        <f t="shared" si="81"/>
        <v>38900</v>
      </c>
      <c r="AI83" s="22">
        <f t="shared" si="81"/>
        <v>34200</v>
      </c>
      <c r="AJ83" s="59"/>
      <c r="AN83" s="11" t="s">
        <v>772</v>
      </c>
      <c r="BA83" s="34"/>
    </row>
    <row r="84" spans="5:53" s="16" customFormat="1">
      <c r="E84" s="358"/>
      <c r="F84" s="11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131"/>
      <c r="T84" s="34" t="s">
        <v>834</v>
      </c>
      <c r="W84" s="11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59"/>
      <c r="AK84" s="34" t="s">
        <v>834</v>
      </c>
      <c r="AN84" s="11"/>
      <c r="BA84" s="34"/>
    </row>
    <row r="85" spans="5:53" s="16" customFormat="1">
      <c r="E85" s="358"/>
      <c r="F85" s="11" t="s">
        <v>828</v>
      </c>
      <c r="G85" s="22">
        <f>SUM(G47,G51,G55,G59,G63)</f>
        <v>232500</v>
      </c>
      <c r="H85" s="22">
        <f t="shared" ref="H85:R85" si="82">SUM(H47,H51,H55,H59,H63)</f>
        <v>232500</v>
      </c>
      <c r="I85" s="22">
        <f t="shared" si="82"/>
        <v>225000</v>
      </c>
      <c r="J85" s="22">
        <f t="shared" si="82"/>
        <v>232500</v>
      </c>
      <c r="K85" s="22">
        <f t="shared" si="82"/>
        <v>375000</v>
      </c>
      <c r="L85" s="22">
        <f t="shared" si="82"/>
        <v>465000</v>
      </c>
      <c r="M85" s="22">
        <f t="shared" si="82"/>
        <v>465000</v>
      </c>
      <c r="N85" s="22">
        <f t="shared" si="82"/>
        <v>435000</v>
      </c>
      <c r="O85" s="22">
        <f t="shared" si="82"/>
        <v>465000</v>
      </c>
      <c r="P85" s="22">
        <f t="shared" si="82"/>
        <v>150000</v>
      </c>
      <c r="Q85" s="22">
        <f t="shared" si="82"/>
        <v>155000</v>
      </c>
      <c r="R85" s="22">
        <f t="shared" si="82"/>
        <v>150000</v>
      </c>
      <c r="S85" s="131">
        <f t="shared" ref="S85:S91" si="83">SUM(G85:R85)</f>
        <v>3582500</v>
      </c>
      <c r="T85" s="124">
        <f>S85/S3</f>
        <v>0.29425252888654801</v>
      </c>
      <c r="W85" s="11" t="s">
        <v>828</v>
      </c>
      <c r="X85" s="22">
        <f t="shared" ref="X85:AH85" si="84">SUM(X47,X51,X55,X59,X63)</f>
        <v>155000</v>
      </c>
      <c r="Y85" s="22">
        <f t="shared" si="84"/>
        <v>155000</v>
      </c>
      <c r="Z85" s="22">
        <f t="shared" si="84"/>
        <v>150000</v>
      </c>
      <c r="AA85" s="22">
        <f t="shared" si="84"/>
        <v>155000</v>
      </c>
      <c r="AB85" s="22">
        <f t="shared" si="84"/>
        <v>225000</v>
      </c>
      <c r="AC85" s="22">
        <f t="shared" si="84"/>
        <v>232500</v>
      </c>
      <c r="AD85" s="22">
        <f t="shared" si="84"/>
        <v>232500</v>
      </c>
      <c r="AE85" s="22">
        <f t="shared" si="84"/>
        <v>210000</v>
      </c>
      <c r="AF85" s="22">
        <f t="shared" si="84"/>
        <v>232500</v>
      </c>
      <c r="AG85" s="22">
        <f t="shared" si="84"/>
        <v>75000</v>
      </c>
      <c r="AH85" s="22">
        <f t="shared" si="84"/>
        <v>77500</v>
      </c>
      <c r="AI85" s="22">
        <f>SUM(AI47,AI51,AI55,AI59,AI63)</f>
        <v>75000</v>
      </c>
      <c r="AJ85" s="143">
        <f t="shared" ref="AJ85:AJ91" si="85">SUM(X85:AI85)</f>
        <v>1975000</v>
      </c>
      <c r="AK85" s="124">
        <f>AJ85/AJ3</f>
        <v>0.16094864160326205</v>
      </c>
      <c r="AN85" s="11" t="s">
        <v>828</v>
      </c>
      <c r="BA85" s="34"/>
    </row>
    <row r="86" spans="5:53" s="16" customFormat="1">
      <c r="E86" s="358"/>
      <c r="F86" s="11" t="s">
        <v>773</v>
      </c>
      <c r="G86" s="22">
        <f>G78*G1</f>
        <v>310000</v>
      </c>
      <c r="H86" s="22">
        <f>H78*H1</f>
        <v>310000</v>
      </c>
      <c r="I86" s="22">
        <f t="shared" ref="I86:R86" si="86">I78*I1</f>
        <v>150000</v>
      </c>
      <c r="J86" s="22">
        <f t="shared" si="86"/>
        <v>465000</v>
      </c>
      <c r="K86" s="22">
        <f t="shared" si="86"/>
        <v>600000</v>
      </c>
      <c r="L86" s="22">
        <f t="shared" si="86"/>
        <v>775000</v>
      </c>
      <c r="M86" s="22">
        <f t="shared" si="86"/>
        <v>775000</v>
      </c>
      <c r="N86" s="22">
        <f t="shared" si="86"/>
        <v>725000</v>
      </c>
      <c r="O86" s="22">
        <f t="shared" si="86"/>
        <v>620000</v>
      </c>
      <c r="P86" s="22">
        <f t="shared" si="86"/>
        <v>450000</v>
      </c>
      <c r="Q86" s="22">
        <f t="shared" si="86"/>
        <v>465000</v>
      </c>
      <c r="R86" s="22">
        <f t="shared" si="86"/>
        <v>300000</v>
      </c>
      <c r="S86" s="131">
        <f t="shared" si="83"/>
        <v>5945000</v>
      </c>
      <c r="T86" s="124">
        <f>S86/S3</f>
        <v>0.48829903258353885</v>
      </c>
      <c r="W86" s="11" t="s">
        <v>773</v>
      </c>
      <c r="X86" s="22">
        <f>X78*X1</f>
        <v>310000</v>
      </c>
      <c r="Y86" s="22">
        <f>Y78*Y1</f>
        <v>310000</v>
      </c>
      <c r="Z86" s="22">
        <f t="shared" ref="Z86:AI86" si="87">Z78*Z1</f>
        <v>150000</v>
      </c>
      <c r="AA86" s="22">
        <f t="shared" si="87"/>
        <v>465000</v>
      </c>
      <c r="AB86" s="22">
        <f t="shared" si="87"/>
        <v>600000</v>
      </c>
      <c r="AC86" s="22">
        <f t="shared" si="87"/>
        <v>775000</v>
      </c>
      <c r="AD86" s="22">
        <f t="shared" si="87"/>
        <v>775000</v>
      </c>
      <c r="AE86" s="22">
        <f t="shared" si="87"/>
        <v>700000</v>
      </c>
      <c r="AF86" s="22">
        <f t="shared" si="87"/>
        <v>620000</v>
      </c>
      <c r="AG86" s="22">
        <f t="shared" si="87"/>
        <v>450000</v>
      </c>
      <c r="AH86" s="22">
        <f t="shared" si="87"/>
        <v>465000</v>
      </c>
      <c r="AI86" s="22">
        <f t="shared" si="87"/>
        <v>300000</v>
      </c>
      <c r="AJ86" s="59">
        <f t="shared" si="85"/>
        <v>5920000</v>
      </c>
      <c r="AK86" s="124">
        <f>AJ86/AJ3</f>
        <v>0.48243845989433493</v>
      </c>
      <c r="AN86" s="11" t="s">
        <v>773</v>
      </c>
      <c r="BA86" s="34"/>
    </row>
    <row r="87" spans="5:53" s="16" customFormat="1">
      <c r="E87" s="358"/>
      <c r="F87" s="11" t="s">
        <v>774</v>
      </c>
      <c r="G87" s="22">
        <f>G79*G1</f>
        <v>610700</v>
      </c>
      <c r="H87" s="22">
        <f>H79*H1</f>
        <v>468100</v>
      </c>
      <c r="I87" s="22">
        <f t="shared" ref="I87:R87" si="88">I79*I1</f>
        <v>327000</v>
      </c>
      <c r="J87" s="22">
        <f t="shared" si="88"/>
        <v>232500</v>
      </c>
      <c r="K87" s="22">
        <f t="shared" si="88"/>
        <v>0</v>
      </c>
      <c r="L87" s="22">
        <f t="shared" si="88"/>
        <v>0</v>
      </c>
      <c r="M87" s="22">
        <f t="shared" si="88"/>
        <v>0</v>
      </c>
      <c r="N87" s="22">
        <f t="shared" si="88"/>
        <v>0</v>
      </c>
      <c r="O87" s="22">
        <f t="shared" si="88"/>
        <v>0</v>
      </c>
      <c r="P87" s="22">
        <f t="shared" si="88"/>
        <v>258000</v>
      </c>
      <c r="Q87" s="22">
        <f t="shared" si="88"/>
        <v>430900</v>
      </c>
      <c r="R87" s="22">
        <f t="shared" si="88"/>
        <v>426000</v>
      </c>
      <c r="S87" s="131">
        <f t="shared" si="83"/>
        <v>2753200</v>
      </c>
      <c r="T87" s="124">
        <f>S87/S3</f>
        <v>0.22613707258351542</v>
      </c>
      <c r="W87" s="11" t="s">
        <v>774</v>
      </c>
      <c r="X87" s="22">
        <f>X79*X1</f>
        <v>610700</v>
      </c>
      <c r="Y87" s="22">
        <f>Y79*Y1</f>
        <v>468100</v>
      </c>
      <c r="Z87" s="22">
        <f t="shared" ref="Z87:AI87" si="89">Z79*Z1</f>
        <v>327000</v>
      </c>
      <c r="AA87" s="22">
        <f t="shared" si="89"/>
        <v>232500</v>
      </c>
      <c r="AB87" s="22">
        <f t="shared" si="89"/>
        <v>0</v>
      </c>
      <c r="AC87" s="22">
        <f t="shared" si="89"/>
        <v>0</v>
      </c>
      <c r="AD87" s="22">
        <f t="shared" si="89"/>
        <v>0</v>
      </c>
      <c r="AE87" s="22">
        <f t="shared" si="89"/>
        <v>0</v>
      </c>
      <c r="AF87" s="22">
        <f t="shared" si="89"/>
        <v>0</v>
      </c>
      <c r="AG87" s="22">
        <f t="shared" si="89"/>
        <v>258000</v>
      </c>
      <c r="AH87" s="22">
        <f t="shared" si="89"/>
        <v>430900</v>
      </c>
      <c r="AI87" s="22">
        <f t="shared" si="89"/>
        <v>426000</v>
      </c>
      <c r="AJ87" s="59">
        <f t="shared" si="85"/>
        <v>2753200</v>
      </c>
      <c r="AK87" s="124">
        <f>AJ87/AJ3</f>
        <v>0.22436648104410184</v>
      </c>
      <c r="AN87" s="11" t="s">
        <v>774</v>
      </c>
      <c r="BA87" s="34"/>
    </row>
    <row r="88" spans="5:53" s="16" customFormat="1">
      <c r="E88" s="358"/>
      <c r="F88" s="11" t="s">
        <v>831</v>
      </c>
      <c r="G88" s="22">
        <f>G80*G1</f>
        <v>920700</v>
      </c>
      <c r="H88" s="22">
        <f t="shared" ref="H88:R88" si="90">H80*H1</f>
        <v>778100</v>
      </c>
      <c r="I88" s="22">
        <f t="shared" si="90"/>
        <v>477000</v>
      </c>
      <c r="J88" s="22">
        <f t="shared" si="90"/>
        <v>697500</v>
      </c>
      <c r="K88" s="22">
        <f t="shared" si="90"/>
        <v>600000</v>
      </c>
      <c r="L88" s="22">
        <f t="shared" si="90"/>
        <v>775000</v>
      </c>
      <c r="M88" s="22">
        <f t="shared" si="90"/>
        <v>775000</v>
      </c>
      <c r="N88" s="22">
        <f t="shared" si="90"/>
        <v>725000</v>
      </c>
      <c r="O88" s="22">
        <f t="shared" si="90"/>
        <v>620000</v>
      </c>
      <c r="P88" s="22">
        <f t="shared" si="90"/>
        <v>708000</v>
      </c>
      <c r="Q88" s="22">
        <f t="shared" si="90"/>
        <v>895900</v>
      </c>
      <c r="R88" s="22">
        <f t="shared" si="90"/>
        <v>726000</v>
      </c>
      <c r="S88" s="131">
        <f t="shared" si="83"/>
        <v>8698200</v>
      </c>
      <c r="T88" s="124">
        <f>S88/S3</f>
        <v>0.71443610516705425</v>
      </c>
      <c r="W88" s="11" t="s">
        <v>831</v>
      </c>
      <c r="X88" s="22">
        <f>X80*X1</f>
        <v>920700</v>
      </c>
      <c r="Y88" s="22">
        <f t="shared" ref="Y88:AI88" si="91">Y80*Y1</f>
        <v>778100</v>
      </c>
      <c r="Z88" s="22">
        <f t="shared" si="91"/>
        <v>477000</v>
      </c>
      <c r="AA88" s="22">
        <f t="shared" si="91"/>
        <v>697500</v>
      </c>
      <c r="AB88" s="22">
        <f t="shared" si="91"/>
        <v>600000</v>
      </c>
      <c r="AC88" s="22">
        <f t="shared" si="91"/>
        <v>775000</v>
      </c>
      <c r="AD88" s="22">
        <f t="shared" si="91"/>
        <v>775000</v>
      </c>
      <c r="AE88" s="22">
        <f t="shared" si="91"/>
        <v>700000</v>
      </c>
      <c r="AF88" s="22">
        <f t="shared" si="91"/>
        <v>620000</v>
      </c>
      <c r="AG88" s="22">
        <f t="shared" si="91"/>
        <v>708000</v>
      </c>
      <c r="AH88" s="22">
        <f t="shared" si="91"/>
        <v>895900</v>
      </c>
      <c r="AI88" s="22">
        <f t="shared" si="91"/>
        <v>726000</v>
      </c>
      <c r="AJ88" s="59">
        <f t="shared" si="85"/>
        <v>8673200</v>
      </c>
      <c r="AK88" s="124">
        <f>AJ88/AJ3</f>
        <v>0.70680494093843671</v>
      </c>
      <c r="AN88" s="11" t="s">
        <v>831</v>
      </c>
      <c r="BA88" s="34"/>
    </row>
    <row r="89" spans="5:53" s="16" customFormat="1">
      <c r="E89" s="358"/>
      <c r="F89" s="11" t="s">
        <v>833</v>
      </c>
      <c r="G89" s="22">
        <f>G81*G1</f>
        <v>77500</v>
      </c>
      <c r="H89" s="22">
        <f t="shared" ref="H89:R89" si="92">H81*H1</f>
        <v>77500</v>
      </c>
      <c r="I89" s="22">
        <f t="shared" si="92"/>
        <v>75000</v>
      </c>
      <c r="J89" s="22">
        <f t="shared" si="92"/>
        <v>77500</v>
      </c>
      <c r="K89" s="22">
        <f t="shared" si="92"/>
        <v>90000</v>
      </c>
      <c r="L89" s="22">
        <f t="shared" si="92"/>
        <v>108500</v>
      </c>
      <c r="M89" s="22">
        <f t="shared" si="92"/>
        <v>108500</v>
      </c>
      <c r="N89" s="22">
        <f t="shared" si="92"/>
        <v>101500</v>
      </c>
      <c r="O89" s="22">
        <f t="shared" si="92"/>
        <v>93000</v>
      </c>
      <c r="P89" s="22">
        <f t="shared" si="92"/>
        <v>75000</v>
      </c>
      <c r="Q89" s="22">
        <f t="shared" si="92"/>
        <v>93000</v>
      </c>
      <c r="R89" s="22">
        <f t="shared" si="92"/>
        <v>90000</v>
      </c>
      <c r="S89" s="131">
        <f t="shared" si="83"/>
        <v>1067000</v>
      </c>
      <c r="T89" s="124">
        <f>S89/S5</f>
        <v>0.26180419720094772</v>
      </c>
      <c r="W89" s="11" t="s">
        <v>833</v>
      </c>
      <c r="X89" s="22">
        <f>X81*X1</f>
        <v>93000</v>
      </c>
      <c r="Y89" s="22">
        <f t="shared" ref="Y89:AI89" si="93">Y81*Y1</f>
        <v>93000</v>
      </c>
      <c r="Z89" s="22">
        <f t="shared" si="93"/>
        <v>90000</v>
      </c>
      <c r="AA89" s="22">
        <f t="shared" si="93"/>
        <v>108500</v>
      </c>
      <c r="AB89" s="22">
        <f t="shared" si="93"/>
        <v>120000</v>
      </c>
      <c r="AC89" s="22">
        <f t="shared" si="93"/>
        <v>139500</v>
      </c>
      <c r="AD89" s="22">
        <f t="shared" si="93"/>
        <v>139500</v>
      </c>
      <c r="AE89" s="22">
        <f t="shared" si="93"/>
        <v>126000</v>
      </c>
      <c r="AF89" s="22">
        <f t="shared" si="93"/>
        <v>124000</v>
      </c>
      <c r="AG89" s="22">
        <f t="shared" si="93"/>
        <v>105000</v>
      </c>
      <c r="AH89" s="22">
        <f t="shared" si="93"/>
        <v>0</v>
      </c>
      <c r="AI89" s="22">
        <f t="shared" si="93"/>
        <v>0</v>
      </c>
      <c r="AJ89" s="59">
        <f t="shared" si="85"/>
        <v>1138500</v>
      </c>
      <c r="AK89" s="124">
        <f>AJ89/AJ5</f>
        <v>0.27311175821778338</v>
      </c>
      <c r="AN89" s="11" t="s">
        <v>833</v>
      </c>
      <c r="BA89" s="34"/>
    </row>
    <row r="90" spans="5:53" s="16" customFormat="1">
      <c r="E90" s="358"/>
      <c r="F90" s="11" t="s">
        <v>775</v>
      </c>
      <c r="G90" s="22">
        <f>G82*$G$1</f>
        <v>310000</v>
      </c>
      <c r="H90" s="22">
        <f>H82*H1</f>
        <v>310000</v>
      </c>
      <c r="I90" s="22">
        <f t="shared" ref="I90:R90" si="94">I82*I1</f>
        <v>300000</v>
      </c>
      <c r="J90" s="22">
        <f t="shared" si="94"/>
        <v>310000</v>
      </c>
      <c r="K90" s="22">
        <f t="shared" si="94"/>
        <v>300000</v>
      </c>
      <c r="L90" s="22">
        <f t="shared" si="94"/>
        <v>310000</v>
      </c>
      <c r="M90" s="22">
        <f t="shared" si="94"/>
        <v>310000</v>
      </c>
      <c r="N90" s="22">
        <f t="shared" si="94"/>
        <v>290000</v>
      </c>
      <c r="O90" s="22">
        <f t="shared" si="94"/>
        <v>310000</v>
      </c>
      <c r="P90" s="22">
        <f t="shared" si="94"/>
        <v>300000</v>
      </c>
      <c r="Q90" s="22">
        <f t="shared" si="94"/>
        <v>310000</v>
      </c>
      <c r="R90" s="22">
        <f t="shared" si="94"/>
        <v>300000</v>
      </c>
      <c r="S90" s="131">
        <f t="shared" si="83"/>
        <v>3660000</v>
      </c>
      <c r="T90" s="124">
        <f>S90/S5</f>
        <v>0.89803501570334443</v>
      </c>
      <c r="W90" s="11" t="s">
        <v>775</v>
      </c>
      <c r="X90" s="22">
        <f>X82*$G$1</f>
        <v>310000</v>
      </c>
      <c r="Y90" s="22">
        <f>Y82*Y1</f>
        <v>310000</v>
      </c>
      <c r="Z90" s="22">
        <f t="shared" ref="Z90:AI90" si="95">Z82*Z1</f>
        <v>300000</v>
      </c>
      <c r="AA90" s="22">
        <f t="shared" si="95"/>
        <v>310000</v>
      </c>
      <c r="AB90" s="22">
        <f t="shared" si="95"/>
        <v>300000</v>
      </c>
      <c r="AC90" s="22">
        <f t="shared" si="95"/>
        <v>310000</v>
      </c>
      <c r="AD90" s="22">
        <f t="shared" si="95"/>
        <v>310000</v>
      </c>
      <c r="AE90" s="22">
        <f t="shared" si="95"/>
        <v>280000</v>
      </c>
      <c r="AF90" s="22">
        <f t="shared" si="95"/>
        <v>310000</v>
      </c>
      <c r="AG90" s="22">
        <f t="shared" si="95"/>
        <v>300000</v>
      </c>
      <c r="AH90" s="22">
        <f t="shared" si="95"/>
        <v>310000</v>
      </c>
      <c r="AI90" s="22">
        <f t="shared" si="95"/>
        <v>300000</v>
      </c>
      <c r="AJ90" s="59">
        <f t="shared" si="85"/>
        <v>3650000</v>
      </c>
      <c r="AK90" s="124">
        <f>AJ90/AJ5</f>
        <v>0.87558886033808458</v>
      </c>
      <c r="AN90" s="11" t="s">
        <v>775</v>
      </c>
      <c r="BA90" s="34"/>
    </row>
    <row r="91" spans="5:53" s="16" customFormat="1">
      <c r="E91" s="358"/>
      <c r="F91" s="11" t="s">
        <v>776</v>
      </c>
      <c r="G91" s="22">
        <f>G83*G1</f>
        <v>1308200</v>
      </c>
      <c r="H91" s="22">
        <f>H83*H1</f>
        <v>1165600</v>
      </c>
      <c r="I91" s="22">
        <f t="shared" ref="I91:R91" si="96">I83*I1</f>
        <v>852000</v>
      </c>
      <c r="J91" s="22">
        <f t="shared" si="96"/>
        <v>1085000</v>
      </c>
      <c r="K91" s="22">
        <f t="shared" si="96"/>
        <v>990000</v>
      </c>
      <c r="L91" s="22">
        <f t="shared" si="96"/>
        <v>1193500</v>
      </c>
      <c r="M91" s="22">
        <f t="shared" si="96"/>
        <v>1193500</v>
      </c>
      <c r="N91" s="22">
        <f t="shared" si="96"/>
        <v>1116500</v>
      </c>
      <c r="O91" s="22">
        <f t="shared" si="96"/>
        <v>1023000</v>
      </c>
      <c r="P91" s="22">
        <f t="shared" si="96"/>
        <v>1083000</v>
      </c>
      <c r="Q91" s="22">
        <f t="shared" si="96"/>
        <v>1298900</v>
      </c>
      <c r="R91" s="22">
        <f t="shared" si="96"/>
        <v>1116000</v>
      </c>
      <c r="S91" s="131">
        <f t="shared" si="83"/>
        <v>13425200</v>
      </c>
      <c r="T91" s="124">
        <f>S91/S7</f>
        <v>0.82614167375502889</v>
      </c>
      <c r="W91" s="11" t="s">
        <v>776</v>
      </c>
      <c r="X91" s="22">
        <f>X83*X1</f>
        <v>1323700</v>
      </c>
      <c r="Y91" s="22">
        <f>Y83*Y1</f>
        <v>1181100</v>
      </c>
      <c r="Z91" s="22">
        <f t="shared" ref="Z91:AI91" si="97">Z83*Z1</f>
        <v>867000</v>
      </c>
      <c r="AA91" s="22">
        <f t="shared" si="97"/>
        <v>1116000</v>
      </c>
      <c r="AB91" s="22">
        <f t="shared" si="97"/>
        <v>1020000</v>
      </c>
      <c r="AC91" s="22">
        <f t="shared" si="97"/>
        <v>1224500</v>
      </c>
      <c r="AD91" s="22">
        <f t="shared" si="97"/>
        <v>1224500</v>
      </c>
      <c r="AE91" s="22">
        <f t="shared" si="97"/>
        <v>1106000</v>
      </c>
      <c r="AF91" s="22">
        <f t="shared" si="97"/>
        <v>1054000</v>
      </c>
      <c r="AG91" s="22">
        <f t="shared" si="97"/>
        <v>1113000</v>
      </c>
      <c r="AH91" s="22">
        <f t="shared" si="97"/>
        <v>1205900</v>
      </c>
      <c r="AI91" s="22">
        <f t="shared" si="97"/>
        <v>1026000</v>
      </c>
      <c r="AJ91" s="59">
        <f t="shared" si="85"/>
        <v>13461700</v>
      </c>
      <c r="AK91" s="124">
        <f>AJ91/AJ7</f>
        <v>0.81885721131030664</v>
      </c>
      <c r="AN91" s="11" t="s">
        <v>776</v>
      </c>
      <c r="BA91" s="34"/>
    </row>
    <row r="92" spans="5:53" s="16" customFormat="1">
      <c r="E92" s="358"/>
      <c r="F92" s="11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131"/>
      <c r="W92" s="11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59"/>
      <c r="AN92" s="11"/>
      <c r="BA92" s="34"/>
    </row>
    <row r="93" spans="5:53" s="16" customFormat="1">
      <c r="E93" s="358"/>
      <c r="F93" s="11" t="s">
        <v>835</v>
      </c>
      <c r="G93" s="124">
        <f>G85/SUM(G3,G34)</f>
        <v>0.26771054487443846</v>
      </c>
      <c r="H93" s="124">
        <f t="shared" ref="H93:R93" si="98">H85/SUM(H3,H34)</f>
        <v>0.30088233617373977</v>
      </c>
      <c r="I93" s="124">
        <f t="shared" si="98"/>
        <v>0.31195016886456967</v>
      </c>
      <c r="J93" s="124">
        <f t="shared" si="98"/>
        <v>0.23179002637870882</v>
      </c>
      <c r="K93" s="124">
        <f t="shared" si="98"/>
        <v>0.32105803950134754</v>
      </c>
      <c r="L93" s="124">
        <f t="shared" si="98"/>
        <v>0.3725127533829295</v>
      </c>
      <c r="M93" s="124">
        <f t="shared" si="98"/>
        <v>0.40031929122307264</v>
      </c>
      <c r="N93" s="124">
        <f t="shared" si="98"/>
        <v>0.38571281343379732</v>
      </c>
      <c r="O93" s="124">
        <f t="shared" si="98"/>
        <v>0.39921754455242464</v>
      </c>
      <c r="P93" s="124">
        <f t="shared" si="98"/>
        <v>0.13713250110475866</v>
      </c>
      <c r="Q93" s="124">
        <f t="shared" si="98"/>
        <v>0.16344457103371626</v>
      </c>
      <c r="R93" s="124">
        <f t="shared" si="98"/>
        <v>0.19124146645877724</v>
      </c>
      <c r="S93" s="128">
        <f>S85/SUM(S3,G34:J34,P34:R34)</f>
        <v>0.23867404855862895</v>
      </c>
      <c r="W93" s="11" t="s">
        <v>835</v>
      </c>
      <c r="X93" s="128">
        <f>X85/SUM(X3,X34)</f>
        <v>0.19475954831137504</v>
      </c>
      <c r="Y93" s="128">
        <f>Y85/SUM(Y3,Y34)</f>
        <v>0.18823568046626835</v>
      </c>
      <c r="Z93" s="124">
        <f>Z85/SUM(Z3,Z34)</f>
        <v>0.20544572219082469</v>
      </c>
      <c r="AA93" s="124">
        <f>AA85/SUM(AA3,AA34)</f>
        <v>0.14864303517897898</v>
      </c>
      <c r="AB93" s="128">
        <f>AB85/AB3</f>
        <v>0.17137054713808461</v>
      </c>
      <c r="AC93" s="128">
        <f>AC85/AC3</f>
        <v>0.11524586311392894</v>
      </c>
      <c r="AD93" s="128">
        <f>AD85/AD3</f>
        <v>0.10444739152170386</v>
      </c>
      <c r="AE93" s="128">
        <f>AE85/AE3</f>
        <v>0.11494271137608314</v>
      </c>
      <c r="AF93" s="128">
        <f>AF85/AF3</f>
        <v>0.1560132175412802</v>
      </c>
      <c r="AG93" s="124">
        <f>AG85/SUM(AG3,AG34)</f>
        <v>5.9870792879699444E-2</v>
      </c>
      <c r="AH93" s="124">
        <f>AH85/SUM(AH3,AH34)</f>
        <v>7.7678951349959377E-2</v>
      </c>
      <c r="AI93" s="124">
        <f>AI85/SUM(AI3,AI34)</f>
        <v>9.0975204787469163E-2</v>
      </c>
      <c r="AJ93" s="124">
        <f>AJ85/SUM(AJ3,X34:AA34,AG34:AI34)</f>
        <v>0.1287433626537112</v>
      </c>
      <c r="AN93" s="11" t="s">
        <v>835</v>
      </c>
      <c r="BA93" s="34"/>
    </row>
    <row r="94" spans="5:53" s="16" customFormat="1">
      <c r="E94" s="358"/>
      <c r="F94" s="11" t="s">
        <v>836</v>
      </c>
      <c r="G94" s="124">
        <f>G85/G88</f>
        <v>0.25252525252525254</v>
      </c>
      <c r="H94" s="124">
        <f t="shared" ref="H94:R94" si="99">H85/H88</f>
        <v>0.29880478087649404</v>
      </c>
      <c r="I94" s="124">
        <f t="shared" si="99"/>
        <v>0.47169811320754718</v>
      </c>
      <c r="J94" s="124">
        <f t="shared" si="99"/>
        <v>0.33333333333333331</v>
      </c>
      <c r="K94" s="347">
        <f t="shared" si="99"/>
        <v>0.625</v>
      </c>
      <c r="L94" s="347">
        <f t="shared" si="99"/>
        <v>0.6</v>
      </c>
      <c r="M94" s="347">
        <f t="shared" si="99"/>
        <v>0.6</v>
      </c>
      <c r="N94" s="347">
        <f t="shared" si="99"/>
        <v>0.6</v>
      </c>
      <c r="O94" s="347">
        <f t="shared" si="99"/>
        <v>0.75</v>
      </c>
      <c r="P94" s="124">
        <f t="shared" si="99"/>
        <v>0.21186440677966101</v>
      </c>
      <c r="Q94" s="124">
        <f t="shared" si="99"/>
        <v>0.17301038062283736</v>
      </c>
      <c r="R94" s="124">
        <f t="shared" si="99"/>
        <v>0.20661157024793389</v>
      </c>
      <c r="S94" s="128">
        <f>S85/S88</f>
        <v>0.41186682302085487</v>
      </c>
      <c r="W94" s="11" t="s">
        <v>836</v>
      </c>
      <c r="X94" s="124">
        <f>X85/X88</f>
        <v>0.16835016835016836</v>
      </c>
      <c r="Y94" s="124">
        <f t="shared" ref="Y94:AI94" si="100">Y85/Y88</f>
        <v>0.19920318725099601</v>
      </c>
      <c r="Z94" s="124">
        <f t="shared" si="100"/>
        <v>0.31446540880503143</v>
      </c>
      <c r="AA94" s="124">
        <f t="shared" si="100"/>
        <v>0.22222222222222221</v>
      </c>
      <c r="AB94" s="124">
        <f t="shared" si="100"/>
        <v>0.375</v>
      </c>
      <c r="AC94" s="124">
        <f t="shared" si="100"/>
        <v>0.3</v>
      </c>
      <c r="AD94" s="124">
        <f t="shared" si="100"/>
        <v>0.3</v>
      </c>
      <c r="AE94" s="124">
        <f t="shared" si="100"/>
        <v>0.3</v>
      </c>
      <c r="AF94" s="124">
        <f t="shared" si="100"/>
        <v>0.375</v>
      </c>
      <c r="AG94" s="124">
        <f t="shared" si="100"/>
        <v>0.1059322033898305</v>
      </c>
      <c r="AH94" s="124">
        <f t="shared" si="100"/>
        <v>8.6505190311418678E-2</v>
      </c>
      <c r="AI94" s="124">
        <f t="shared" si="100"/>
        <v>0.10330578512396695</v>
      </c>
      <c r="AJ94" s="124">
        <f>AJ85/AJ88</f>
        <v>0.2277129548494212</v>
      </c>
      <c r="AN94" s="11" t="s">
        <v>836</v>
      </c>
      <c r="BA94" s="34"/>
    </row>
    <row r="95" spans="5:53" s="16" customFormat="1">
      <c r="E95" s="358"/>
      <c r="F95" s="11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131"/>
      <c r="AJ95" s="34"/>
      <c r="BA95" s="34"/>
    </row>
    <row r="96" spans="5:53" s="16" customFormat="1">
      <c r="E96" s="358"/>
      <c r="F96" s="11"/>
      <c r="G96" s="124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131"/>
      <c r="AJ96" s="34"/>
      <c r="BA96" s="34"/>
    </row>
    <row r="97" spans="2:53" s="16" customFormat="1">
      <c r="E97" s="358"/>
      <c r="F97" s="11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131"/>
      <c r="AJ97" s="34"/>
      <c r="BA97" s="34"/>
    </row>
    <row r="98" spans="2:53" s="16" customFormat="1">
      <c r="E98" s="358"/>
      <c r="F98" s="11"/>
      <c r="G98" s="22"/>
      <c r="H98" s="22"/>
      <c r="I98" s="22"/>
      <c r="J98" s="22"/>
      <c r="K98" s="292"/>
      <c r="L98" s="22"/>
      <c r="M98" s="22"/>
      <c r="N98" s="22"/>
      <c r="O98" s="22"/>
      <c r="P98" s="22"/>
      <c r="Q98" s="22"/>
      <c r="R98" s="22"/>
      <c r="S98" s="131"/>
      <c r="AJ98" s="34"/>
      <c r="BA98" s="34"/>
    </row>
    <row r="99" spans="2:53" s="16" customFormat="1">
      <c r="E99" s="358"/>
      <c r="F99" s="11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131"/>
      <c r="AJ99" s="34"/>
      <c r="BA99" s="34"/>
    </row>
    <row r="100" spans="2:53" s="16" customFormat="1">
      <c r="E100" s="358"/>
      <c r="F100" s="11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131"/>
      <c r="AJ100" s="34"/>
      <c r="BA100" s="34"/>
    </row>
    <row r="101" spans="2:53" s="16" customFormat="1">
      <c r="E101" s="358"/>
      <c r="F101" s="11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131"/>
      <c r="AJ101" s="34"/>
      <c r="BA101" s="34"/>
    </row>
    <row r="102" spans="2:53" s="16" customFormat="1">
      <c r="E102" s="358"/>
      <c r="F102" s="11"/>
      <c r="G102" s="22"/>
      <c r="H102" s="22"/>
      <c r="I102" s="22"/>
      <c r="J102" s="22"/>
      <c r="K102" s="22"/>
      <c r="M102" s="22"/>
      <c r="N102" s="22"/>
      <c r="O102" s="22"/>
      <c r="P102" s="22"/>
      <c r="Q102" s="22"/>
      <c r="R102" s="22"/>
      <c r="S102" s="131"/>
      <c r="AJ102" s="34"/>
      <c r="BA102" s="34"/>
    </row>
    <row r="103" spans="2:53" s="16" customFormat="1">
      <c r="E103" s="358"/>
      <c r="F103" s="11"/>
      <c r="G103" s="108">
        <f>G107-'[5]FT GAS'!X107</f>
        <v>78443.181864663959</v>
      </c>
      <c r="H103" s="108">
        <f>H107-'[5]FT GAS'!Y107</f>
        <v>-23105.021994985174</v>
      </c>
      <c r="I103" s="108">
        <f>I107-'[5]FT GAS'!Z107</f>
        <v>54202.14609088935</v>
      </c>
      <c r="J103" s="209">
        <f>J107-'[5]FT GAS'!AA107</f>
        <v>-141648.46851627296</v>
      </c>
      <c r="K103" s="209">
        <f>K107-'[5]FT GAS'!AB107</f>
        <v>-445534.55924503645</v>
      </c>
      <c r="L103" s="209">
        <f>L107-'[5]FT GAS'!AC107</f>
        <v>-188186.1863656058</v>
      </c>
      <c r="M103" s="209">
        <f>M107-'[5]FT GAS'!AD107</f>
        <v>-425052.14319157996</v>
      </c>
      <c r="N103" s="209">
        <f>N107-'[5]FT GAS'!AE107</f>
        <v>-246681.46579068759</v>
      </c>
      <c r="O103" s="209">
        <f>O107-'[5]FT GAS'!AF107</f>
        <v>-341660.93547174288</v>
      </c>
      <c r="P103" s="209">
        <f>P107-'[5]FT GAS'!AG107</f>
        <v>-351910.12543667736</v>
      </c>
      <c r="Q103" s="108">
        <f>Q107-'[5]FT GAS'!AH107</f>
        <v>-323323.34025169746</v>
      </c>
      <c r="R103" s="108">
        <f>R107-'[5]FT GAS'!AI107</f>
        <v>-231158.0391313578</v>
      </c>
      <c r="S103" s="211">
        <f>SUM(G103:R103)</f>
        <v>-2585614.9574400899</v>
      </c>
      <c r="AJ103" s="34"/>
      <c r="BA103" s="34"/>
    </row>
    <row r="104" spans="2:53" s="16" customFormat="1">
      <c r="E104" s="358"/>
      <c r="F104" s="11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131"/>
      <c r="AJ104" s="34"/>
      <c r="BA104" s="34"/>
    </row>
    <row r="105" spans="2:53" s="16" customFormat="1">
      <c r="E105" s="358"/>
      <c r="F105" s="11" t="s">
        <v>88</v>
      </c>
      <c r="G105" s="32">
        <f t="shared" ref="G105:R105" si="101">SUM(G49,G53,G57,G61,G65,G69,G73)</f>
        <v>1377252.5</v>
      </c>
      <c r="H105" s="32">
        <f t="shared" si="101"/>
        <v>1368650</v>
      </c>
      <c r="I105" s="32">
        <f t="shared" si="101"/>
        <v>1220325</v>
      </c>
      <c r="J105" s="32">
        <f t="shared" si="101"/>
        <v>1238217.5</v>
      </c>
      <c r="K105" s="32">
        <f t="shared" si="101"/>
        <v>1795500</v>
      </c>
      <c r="L105" s="32">
        <f t="shared" si="101"/>
        <v>2183950</v>
      </c>
      <c r="M105" s="32">
        <f t="shared" si="101"/>
        <v>2183950</v>
      </c>
      <c r="N105" s="32">
        <f t="shared" si="101"/>
        <v>2043050</v>
      </c>
      <c r="O105" s="32">
        <f t="shared" si="101"/>
        <v>2111100</v>
      </c>
      <c r="P105" s="32">
        <f t="shared" si="101"/>
        <v>862500</v>
      </c>
      <c r="Q105" s="32">
        <f t="shared" si="101"/>
        <v>777170</v>
      </c>
      <c r="R105" s="32">
        <f t="shared" si="101"/>
        <v>752100</v>
      </c>
      <c r="S105" s="197">
        <f>SUM(G105:R105)</f>
        <v>17913765</v>
      </c>
      <c r="T105" s="175"/>
      <c r="W105" s="11" t="s">
        <v>88</v>
      </c>
      <c r="X105" s="32">
        <f>SUM(X53,X57,X61,X65,X69,X73)</f>
        <v>777170</v>
      </c>
      <c r="Y105" s="32">
        <f t="shared" ref="Y105:AI105" si="102">SUM(Y53,Y57,Y61,Y65,Y69,Y73)</f>
        <v>777170</v>
      </c>
      <c r="Z105" s="32">
        <f t="shared" si="102"/>
        <v>752100</v>
      </c>
      <c r="AA105" s="32">
        <f t="shared" si="102"/>
        <v>818865</v>
      </c>
      <c r="AB105" s="32">
        <f t="shared" si="102"/>
        <v>1047075</v>
      </c>
      <c r="AC105" s="32">
        <f t="shared" si="102"/>
        <v>1177612.5</v>
      </c>
      <c r="AD105" s="32">
        <f t="shared" si="102"/>
        <v>1207837.5</v>
      </c>
      <c r="AE105" s="32">
        <f t="shared" si="102"/>
        <v>1092210</v>
      </c>
      <c r="AF105" s="32">
        <f t="shared" si="102"/>
        <v>1157772.5</v>
      </c>
      <c r="AG105" s="32">
        <f t="shared" si="102"/>
        <v>545475</v>
      </c>
      <c r="AH105" s="32">
        <f t="shared" si="102"/>
        <v>273187.5</v>
      </c>
      <c r="AI105" s="32">
        <f t="shared" si="102"/>
        <v>267000</v>
      </c>
      <c r="AJ105" s="43">
        <f>SUM(X105:AI105)</f>
        <v>9893475</v>
      </c>
      <c r="BA105" s="34"/>
    </row>
    <row r="106" spans="2:53" s="16" customFormat="1">
      <c r="B106" s="16">
        <f>AVERAGE(G109:O109)</f>
        <v>3.4876666666666671</v>
      </c>
      <c r="E106" s="358"/>
      <c r="F106" s="34" t="s">
        <v>735</v>
      </c>
      <c r="G106" s="17">
        <f t="shared" ref="G106:O106" si="103">G105/(G85+G89)</f>
        <v>4.4427500000000002</v>
      </c>
      <c r="H106" s="17">
        <f t="shared" si="103"/>
        <v>4.415</v>
      </c>
      <c r="I106" s="17">
        <f t="shared" si="103"/>
        <v>4.0677500000000002</v>
      </c>
      <c r="J106" s="17">
        <f t="shared" si="103"/>
        <v>3.9942500000000001</v>
      </c>
      <c r="K106" s="17">
        <f t="shared" si="103"/>
        <v>3.8612903225806452</v>
      </c>
      <c r="L106" s="17">
        <f t="shared" si="103"/>
        <v>3.8081081081081081</v>
      </c>
      <c r="M106" s="17">
        <f t="shared" si="103"/>
        <v>3.8081081081081081</v>
      </c>
      <c r="N106" s="17">
        <f t="shared" si="103"/>
        <v>3.8081081081081081</v>
      </c>
      <c r="O106" s="17">
        <f t="shared" si="103"/>
        <v>3.7833333333333332</v>
      </c>
      <c r="P106" s="17"/>
      <c r="Q106" s="17"/>
      <c r="R106" s="17"/>
      <c r="S106" s="17">
        <f>S105/(S85+S89)</f>
        <v>3.8528368641789439</v>
      </c>
      <c r="W106" s="34" t="s">
        <v>735</v>
      </c>
      <c r="X106" s="16">
        <f t="shared" ref="X106:AI106" si="104">X105/X85</f>
        <v>5.0140000000000002</v>
      </c>
      <c r="Y106" s="16">
        <f t="shared" si="104"/>
        <v>5.0140000000000002</v>
      </c>
      <c r="Z106" s="16">
        <f t="shared" si="104"/>
        <v>5.0140000000000002</v>
      </c>
      <c r="AA106" s="16">
        <f t="shared" si="104"/>
        <v>5.2830000000000004</v>
      </c>
      <c r="AB106" s="16">
        <f t="shared" si="104"/>
        <v>4.6536666666666671</v>
      </c>
      <c r="AC106" s="16">
        <f t="shared" si="104"/>
        <v>5.0650000000000004</v>
      </c>
      <c r="AD106" s="16">
        <f t="shared" si="104"/>
        <v>5.1950000000000003</v>
      </c>
      <c r="AE106" s="16">
        <f t="shared" si="104"/>
        <v>5.2009999999999996</v>
      </c>
      <c r="AF106" s="16">
        <f t="shared" si="104"/>
        <v>4.9796666666666667</v>
      </c>
      <c r="AG106" s="16">
        <f t="shared" si="104"/>
        <v>7.2729999999999997</v>
      </c>
      <c r="AH106" s="16">
        <f t="shared" si="104"/>
        <v>3.5249999999999999</v>
      </c>
      <c r="AI106" s="16">
        <f t="shared" si="104"/>
        <v>3.56</v>
      </c>
      <c r="AJ106" s="34">
        <f>(X85*X106+Y85*Y106+Z85*Z106+AA85*AA106+AB85*AB106+AC85*AC106+AD85*AD106+AE85*AE106+AF85*AF106+AG85*AG106+AH85*AH106+AI85*AI106)/AJ85</f>
        <v>5.009354430379747</v>
      </c>
      <c r="BA106" s="34"/>
    </row>
    <row r="107" spans="2:53">
      <c r="F107" s="11" t="s">
        <v>91</v>
      </c>
      <c r="G107" s="22">
        <f>G39-G43-G85-G89</f>
        <v>462784.08771929843</v>
      </c>
      <c r="H107" s="22">
        <f t="shared" ref="H107:R107" si="105">H39-H43-H85-H89</f>
        <v>377365.9122807018</v>
      </c>
      <c r="I107" s="22">
        <f t="shared" si="105"/>
        <v>475623.42973222537</v>
      </c>
      <c r="J107" s="22">
        <f t="shared" si="105"/>
        <v>874422.65244690701</v>
      </c>
      <c r="K107" s="22">
        <f t="shared" si="105"/>
        <v>771518.37562326901</v>
      </c>
      <c r="L107" s="22">
        <f t="shared" si="105"/>
        <v>682705.72576177306</v>
      </c>
      <c r="M107" s="22">
        <f t="shared" si="105"/>
        <v>620700.87017543893</v>
      </c>
      <c r="N107" s="22">
        <f t="shared" si="105"/>
        <v>559594.36325023137</v>
      </c>
      <c r="O107" s="22">
        <f t="shared" si="105"/>
        <v>657424.08217913215</v>
      </c>
      <c r="P107" s="22">
        <f t="shared" si="105"/>
        <v>946022.07202216098</v>
      </c>
      <c r="Q107" s="22">
        <f t="shared" si="105"/>
        <v>618340.74939981545</v>
      </c>
      <c r="R107" s="22">
        <f t="shared" si="105"/>
        <v>470538.19667590037</v>
      </c>
      <c r="S107" s="131">
        <f>SUM(G107:R107)</f>
        <v>7517040.5172668537</v>
      </c>
      <c r="T107" s="108">
        <f>S107-'[5]FT GAS'!$AJ$107</f>
        <v>-2585614.9574400904</v>
      </c>
      <c r="U107" s="105"/>
      <c r="W107" s="11" t="s">
        <v>91</v>
      </c>
      <c r="X107" s="22">
        <f t="shared" ref="X107:AI107" si="106">X39-X43-X85</f>
        <v>546217.36044321326</v>
      </c>
      <c r="Y107" s="22">
        <f t="shared" si="106"/>
        <v>589856.16079409048</v>
      </c>
      <c r="Z107" s="22">
        <f t="shared" si="106"/>
        <v>640919.14888273319</v>
      </c>
      <c r="AA107" s="22">
        <f t="shared" si="106"/>
        <v>1080062.4405540172</v>
      </c>
      <c r="AB107" s="22">
        <f t="shared" si="106"/>
        <v>1165701.5918744232</v>
      </c>
      <c r="AC107" s="22">
        <f t="shared" si="106"/>
        <v>903344.14603878139</v>
      </c>
      <c r="AD107" s="22">
        <f t="shared" si="106"/>
        <v>1003375.8353554939</v>
      </c>
      <c r="AE107" s="22">
        <f t="shared" si="106"/>
        <v>768665.32747922465</v>
      </c>
      <c r="AF107" s="22">
        <f t="shared" si="106"/>
        <v>969916.57289012056</v>
      </c>
      <c r="AG107" s="22">
        <f t="shared" si="106"/>
        <v>1265261.8347368422</v>
      </c>
      <c r="AH107" s="22">
        <f t="shared" si="106"/>
        <v>848016.62062788568</v>
      </c>
      <c r="AI107" s="22">
        <f t="shared" si="106"/>
        <v>681473.43503231788</v>
      </c>
      <c r="AJ107" s="59">
        <f>SUM(X107:AI107)</f>
        <v>10462810.474709144</v>
      </c>
      <c r="AN107" s="11" t="s">
        <v>91</v>
      </c>
      <c r="AO107" s="22">
        <f t="shared" ref="AO107:AZ107" si="107">AO39-AO85</f>
        <v>1070476.6605355495</v>
      </c>
      <c r="AP107" s="22">
        <f t="shared" si="107"/>
        <v>1114901.4257987074</v>
      </c>
      <c r="AQ107" s="22">
        <f t="shared" si="107"/>
        <v>1028532.9867405356</v>
      </c>
      <c r="AR107" s="22">
        <f t="shared" si="107"/>
        <v>1385963.1123915054</v>
      </c>
      <c r="AS107" s="22">
        <f t="shared" si="107"/>
        <v>1720233.9545706373</v>
      </c>
      <c r="AT107" s="22">
        <f t="shared" si="107"/>
        <v>1649295.8911911361</v>
      </c>
      <c r="AU107" s="22">
        <f t="shared" si="107"/>
        <v>1751146.2161495851</v>
      </c>
      <c r="AV107" s="22">
        <f t="shared" si="107"/>
        <v>1430952.0643213298</v>
      </c>
      <c r="AW107" s="22">
        <f t="shared" si="107"/>
        <v>1540228.6393721148</v>
      </c>
      <c r="AX107" s="22">
        <f t="shared" si="107"/>
        <v>1624264.8412003694</v>
      </c>
      <c r="AY107" s="22">
        <f t="shared" si="107"/>
        <v>1293865.2315235457</v>
      </c>
      <c r="AZ107" s="22">
        <f t="shared" si="107"/>
        <v>1117634.79421976</v>
      </c>
      <c r="BA107" s="59">
        <f>SUM(AO107:AZ107)</f>
        <v>16727495.818014774</v>
      </c>
    </row>
    <row r="108" spans="2:53">
      <c r="F108" s="10" t="s">
        <v>94</v>
      </c>
      <c r="G108" s="22">
        <f t="shared" ref="G108:S108" si="108">G107/G1</f>
        <v>14928.518958687046</v>
      </c>
      <c r="H108" s="22">
        <f t="shared" si="108"/>
        <v>12173.093944538768</v>
      </c>
      <c r="I108" s="22">
        <f t="shared" si="108"/>
        <v>15854.114324407512</v>
      </c>
      <c r="J108" s="22">
        <f t="shared" si="108"/>
        <v>28207.182336997001</v>
      </c>
      <c r="K108" s="22">
        <f t="shared" si="108"/>
        <v>25717.279187442302</v>
      </c>
      <c r="L108" s="22">
        <f t="shared" si="108"/>
        <v>22022.765347153971</v>
      </c>
      <c r="M108" s="22">
        <f t="shared" si="108"/>
        <v>20022.608715336741</v>
      </c>
      <c r="N108" s="22">
        <f t="shared" si="108"/>
        <v>19296.357353456253</v>
      </c>
      <c r="O108" s="22">
        <f t="shared" si="108"/>
        <v>21207.22845739136</v>
      </c>
      <c r="P108" s="22">
        <f t="shared" si="108"/>
        <v>31534.069067405366</v>
      </c>
      <c r="Q108" s="22">
        <f t="shared" si="108"/>
        <v>19946.475787090822</v>
      </c>
      <c r="R108" s="22">
        <f t="shared" si="108"/>
        <v>15684.606555863345</v>
      </c>
      <c r="S108" s="28">
        <f t="shared" si="108"/>
        <v>20538.36206903512</v>
      </c>
      <c r="T108" s="105"/>
      <c r="W108" s="10" t="s">
        <v>94</v>
      </c>
      <c r="X108" s="22">
        <f t="shared" ref="X108:AJ108" si="109">X107/X1</f>
        <v>17619.914853006878</v>
      </c>
      <c r="Y108" s="22">
        <f t="shared" si="109"/>
        <v>19027.618090131949</v>
      </c>
      <c r="Z108" s="22">
        <f t="shared" si="109"/>
        <v>21363.971629424439</v>
      </c>
      <c r="AA108" s="22">
        <f t="shared" si="109"/>
        <v>34840.723888839268</v>
      </c>
      <c r="AB108" s="22">
        <f t="shared" si="109"/>
        <v>38856.719729147437</v>
      </c>
      <c r="AC108" s="22">
        <f t="shared" si="109"/>
        <v>29140.133743186496</v>
      </c>
      <c r="AD108" s="22">
        <f t="shared" si="109"/>
        <v>32366.962430822387</v>
      </c>
      <c r="AE108" s="22">
        <f t="shared" si="109"/>
        <v>27452.333124258024</v>
      </c>
      <c r="AF108" s="22">
        <f t="shared" si="109"/>
        <v>31287.631383552278</v>
      </c>
      <c r="AG108" s="22">
        <f t="shared" si="109"/>
        <v>42175.394491228071</v>
      </c>
      <c r="AH108" s="22">
        <f t="shared" si="109"/>
        <v>27355.374858964053</v>
      </c>
      <c r="AI108" s="22">
        <f t="shared" si="109"/>
        <v>22715.781167743928</v>
      </c>
      <c r="AJ108" s="22">
        <f t="shared" si="109"/>
        <v>28665.234177285325</v>
      </c>
      <c r="AN108" s="10" t="s">
        <v>94</v>
      </c>
      <c r="AO108" s="22">
        <f t="shared" ref="AO108:BA108" si="110">AO107/AO1</f>
        <v>34531.505178566113</v>
      </c>
      <c r="AP108" s="22">
        <f t="shared" si="110"/>
        <v>35964.562122538948</v>
      </c>
      <c r="AQ108" s="22">
        <f t="shared" si="110"/>
        <v>34284.432891351185</v>
      </c>
      <c r="AR108" s="22">
        <f t="shared" si="110"/>
        <v>44708.487496500173</v>
      </c>
      <c r="AS108" s="22">
        <f t="shared" si="110"/>
        <v>57341.131819021241</v>
      </c>
      <c r="AT108" s="22">
        <f t="shared" si="110"/>
        <v>53203.0932642302</v>
      </c>
      <c r="AU108" s="22">
        <f t="shared" si="110"/>
        <v>56488.587617728554</v>
      </c>
      <c r="AV108" s="22">
        <f t="shared" si="110"/>
        <v>51105.430868618925</v>
      </c>
      <c r="AW108" s="22">
        <f t="shared" si="110"/>
        <v>49684.794818455317</v>
      </c>
      <c r="AX108" s="22">
        <f t="shared" si="110"/>
        <v>54142.161373345647</v>
      </c>
      <c r="AY108" s="22">
        <f t="shared" si="110"/>
        <v>41737.588113662765</v>
      </c>
      <c r="AZ108" s="22">
        <f t="shared" si="110"/>
        <v>37254.493140658669</v>
      </c>
      <c r="BA108" s="22">
        <f t="shared" si="110"/>
        <v>45828.755665793906</v>
      </c>
    </row>
    <row r="109" spans="2:53">
      <c r="E109" s="360"/>
      <c r="F109" s="10" t="s">
        <v>95</v>
      </c>
      <c r="G109" s="408">
        <v>4.3570000000000002</v>
      </c>
      <c r="H109" s="408">
        <v>4.32</v>
      </c>
      <c r="I109" s="408">
        <v>3.8570000000000002</v>
      </c>
      <c r="J109" s="408">
        <v>3.7589999999999999</v>
      </c>
      <c r="K109" s="408">
        <v>3.524</v>
      </c>
      <c r="L109" s="408">
        <v>3.3639999999999999</v>
      </c>
      <c r="M109" s="408">
        <v>3.0840000000000001</v>
      </c>
      <c r="N109" s="408">
        <v>2.6779999999999999</v>
      </c>
      <c r="O109" s="408">
        <v>2.4460000000000002</v>
      </c>
      <c r="P109" s="408">
        <v>2.1909999999999998</v>
      </c>
      <c r="Q109" s="408">
        <v>2.036</v>
      </c>
      <c r="R109" s="408">
        <v>2.4289999999999998</v>
      </c>
      <c r="S109" s="195">
        <f>(G107*G109+H107*H109+I107*I109+J107*J109+K107*K109+L107*L109+M107*M109+N107*N109+O107*O109+P107*P109+Q107*Q109+R107*R109)/S107</f>
        <v>3.0968259373721563</v>
      </c>
      <c r="V109" s="145">
        <v>0</v>
      </c>
      <c r="W109" s="292" t="s">
        <v>95</v>
      </c>
      <c r="X109" s="408">
        <v>2.774</v>
      </c>
      <c r="Y109" s="489">
        <v>3.081</v>
      </c>
      <c r="Z109" s="489">
        <v>3.0760000000000001</v>
      </c>
      <c r="AA109" s="489">
        <v>3.0830000000000002</v>
      </c>
      <c r="AB109" s="489">
        <v>3.2189999999999999</v>
      </c>
      <c r="AC109" s="489">
        <v>3.4510000000000001</v>
      </c>
      <c r="AD109" s="489">
        <v>3.581</v>
      </c>
      <c r="AE109" s="489">
        <v>3.5870000000000002</v>
      </c>
      <c r="AF109" s="489">
        <v>3.5449999999999999</v>
      </c>
      <c r="AG109" s="489">
        <v>3.5070000000000001</v>
      </c>
      <c r="AH109" s="489">
        <v>3.5249999999999999</v>
      </c>
      <c r="AI109" s="489">
        <v>3.56</v>
      </c>
      <c r="AJ109" s="34">
        <f>AJ115/AJ107</f>
        <v>3.359031559490226</v>
      </c>
      <c r="AM109" s="145">
        <v>0</v>
      </c>
      <c r="AN109" s="10" t="s">
        <v>95</v>
      </c>
      <c r="AO109" s="489">
        <v>3.6040000000000001</v>
      </c>
      <c r="AP109" s="489">
        <v>3.6269999999999998</v>
      </c>
      <c r="AQ109" s="489">
        <v>3.6320000000000001</v>
      </c>
      <c r="AR109" s="489">
        <v>3.6659999999999999</v>
      </c>
      <c r="AS109" s="489">
        <v>3.78</v>
      </c>
      <c r="AT109" s="489">
        <v>3.9860000000000002</v>
      </c>
      <c r="AU109" s="489">
        <v>4.0979999999999999</v>
      </c>
      <c r="AV109" s="489">
        <v>4.077</v>
      </c>
      <c r="AW109" s="489">
        <v>4.0060000000000002</v>
      </c>
      <c r="AX109" s="489">
        <v>3.8540000000000001</v>
      </c>
      <c r="AY109" s="489">
        <v>3.871</v>
      </c>
      <c r="AZ109" s="489">
        <v>3.8959999999999999</v>
      </c>
      <c r="BA109" s="34">
        <f>BA115/BA107</f>
        <v>3.8617863225913585</v>
      </c>
    </row>
    <row r="110" spans="2:53">
      <c r="E110" s="361"/>
      <c r="F110" s="10" t="s">
        <v>444</v>
      </c>
      <c r="G110" s="28">
        <f>SUM(G18:G20)</f>
        <v>155000</v>
      </c>
      <c r="H110" s="28">
        <f t="shared" ref="H110:R110" si="111">SUM(H18:H20)</f>
        <v>155000</v>
      </c>
      <c r="I110" s="28">
        <f t="shared" si="111"/>
        <v>150000</v>
      </c>
      <c r="J110" s="28">
        <f t="shared" si="111"/>
        <v>155000</v>
      </c>
      <c r="K110" s="28">
        <f t="shared" si="111"/>
        <v>150000</v>
      </c>
      <c r="L110" s="28">
        <f t="shared" si="111"/>
        <v>155000</v>
      </c>
      <c r="M110" s="28">
        <f t="shared" si="111"/>
        <v>155000</v>
      </c>
      <c r="N110" s="28">
        <f t="shared" si="111"/>
        <v>145000</v>
      </c>
      <c r="O110" s="28">
        <f t="shared" si="111"/>
        <v>155000</v>
      </c>
      <c r="P110" s="28">
        <f t="shared" si="111"/>
        <v>150000</v>
      </c>
      <c r="Q110" s="28">
        <f t="shared" si="111"/>
        <v>155000</v>
      </c>
      <c r="R110" s="28">
        <f t="shared" si="111"/>
        <v>150000</v>
      </c>
      <c r="S110" s="131">
        <f>SUM(G110:R110)</f>
        <v>1830000</v>
      </c>
      <c r="V110" s="218"/>
      <c r="W110" s="10" t="s">
        <v>444</v>
      </c>
      <c r="X110" s="28">
        <f t="shared" ref="X110:AI110" si="112">SUM(X18:X20)</f>
        <v>155000</v>
      </c>
      <c r="Y110" s="28">
        <f t="shared" si="112"/>
        <v>155000</v>
      </c>
      <c r="Z110" s="28">
        <f t="shared" si="112"/>
        <v>150000</v>
      </c>
      <c r="AA110" s="28">
        <f t="shared" si="112"/>
        <v>155000</v>
      </c>
      <c r="AB110" s="28">
        <f t="shared" si="112"/>
        <v>150000</v>
      </c>
      <c r="AC110" s="28">
        <f t="shared" si="112"/>
        <v>155000</v>
      </c>
      <c r="AD110" s="28">
        <f t="shared" si="112"/>
        <v>155000</v>
      </c>
      <c r="AE110" s="28">
        <f t="shared" si="112"/>
        <v>140000</v>
      </c>
      <c r="AF110" s="28">
        <f t="shared" si="112"/>
        <v>155000</v>
      </c>
      <c r="AG110" s="28">
        <f t="shared" si="112"/>
        <v>150000</v>
      </c>
      <c r="AH110" s="28">
        <f t="shared" si="112"/>
        <v>155000</v>
      </c>
      <c r="AI110" s="28">
        <f t="shared" si="112"/>
        <v>150000</v>
      </c>
      <c r="AJ110" s="59">
        <f>SUM(X110:AI110)</f>
        <v>1825000</v>
      </c>
      <c r="AM110" s="218"/>
      <c r="AN110" s="10" t="s">
        <v>444</v>
      </c>
      <c r="AO110" s="28">
        <f t="shared" ref="AO110:AZ110" si="113">SUM(AO18:AO20)</f>
        <v>155000</v>
      </c>
      <c r="AP110" s="28">
        <f t="shared" si="113"/>
        <v>155000</v>
      </c>
      <c r="AQ110" s="28">
        <f t="shared" si="113"/>
        <v>150000</v>
      </c>
      <c r="AR110" s="28">
        <f t="shared" si="113"/>
        <v>155000</v>
      </c>
      <c r="AS110" s="28">
        <f t="shared" si="113"/>
        <v>370000</v>
      </c>
      <c r="AT110" s="28">
        <f t="shared" si="113"/>
        <v>220000</v>
      </c>
      <c r="AU110" s="28">
        <f t="shared" si="113"/>
        <v>280000</v>
      </c>
      <c r="AV110" s="28">
        <f t="shared" si="113"/>
        <v>235000</v>
      </c>
      <c r="AW110" s="28">
        <f t="shared" si="113"/>
        <v>325000</v>
      </c>
      <c r="AX110" s="28">
        <f t="shared" si="113"/>
        <v>150000</v>
      </c>
      <c r="AY110" s="28">
        <f t="shared" si="113"/>
        <v>155000</v>
      </c>
      <c r="AZ110" s="28">
        <f t="shared" si="113"/>
        <v>150000</v>
      </c>
      <c r="BA110" s="59">
        <f>SUM(AO110:AZ110)</f>
        <v>2500000</v>
      </c>
    </row>
    <row r="111" spans="2:53">
      <c r="E111" s="361">
        <f>AVERAGE(G111:J111)</f>
        <v>0.104</v>
      </c>
      <c r="F111" s="10" t="s">
        <v>438</v>
      </c>
      <c r="G111" s="409">
        <v>0.13700000000000001</v>
      </c>
      <c r="H111" s="409">
        <v>0.11799999999999999</v>
      </c>
      <c r="I111" s="408">
        <v>4.5999999999999999E-2</v>
      </c>
      <c r="J111" s="409">
        <v>0.115</v>
      </c>
      <c r="K111" s="409">
        <v>8.3000000000000004E-2</v>
      </c>
      <c r="L111" s="409">
        <v>0.18</v>
      </c>
      <c r="M111" s="409">
        <v>7.4999999999999997E-2</v>
      </c>
      <c r="N111" s="458">
        <v>-3.9E-2</v>
      </c>
      <c r="O111" s="409">
        <v>2.5000000000000001E-2</v>
      </c>
      <c r="P111" s="409">
        <v>5.0000000000000001E-3</v>
      </c>
      <c r="Q111" s="409">
        <v>3.9E-2</v>
      </c>
      <c r="R111" s="458">
        <v>1.4999999999999999E-2</v>
      </c>
      <c r="S111" s="195">
        <f>S112/S110</f>
        <v>6.7480874316939887E-2</v>
      </c>
      <c r="V111" s="218"/>
      <c r="W111" s="10" t="s">
        <v>438</v>
      </c>
      <c r="X111" s="458">
        <v>-3.3000000000000002E-2</v>
      </c>
      <c r="Y111" s="494">
        <v>-2.2499999999999999E-2</v>
      </c>
      <c r="Z111" s="494">
        <v>-7.4999999999999997E-2</v>
      </c>
      <c r="AA111" s="494">
        <v>-0.115</v>
      </c>
      <c r="AB111" s="494">
        <v>-0.05</v>
      </c>
      <c r="AC111" s="494">
        <v>-0.05</v>
      </c>
      <c r="AD111" s="494">
        <v>-0.05</v>
      </c>
      <c r="AE111" s="494">
        <v>-0.05</v>
      </c>
      <c r="AF111" s="494">
        <v>-0.05</v>
      </c>
      <c r="AG111" s="494">
        <v>-7.2499999999999995E-2</v>
      </c>
      <c r="AH111" s="494">
        <v>-7.2499999999999995E-2</v>
      </c>
      <c r="AI111" s="494">
        <v>-7.2499999999999995E-2</v>
      </c>
      <c r="AJ111" s="494"/>
      <c r="AM111" s="218"/>
      <c r="AN111" s="10" t="s">
        <v>438</v>
      </c>
      <c r="AO111" s="494">
        <v>-7.2499999999999995E-2</v>
      </c>
      <c r="AP111" s="494">
        <v>-7.2499999999999995E-2</v>
      </c>
      <c r="AQ111" s="494">
        <v>-7.2499999999999995E-2</v>
      </c>
      <c r="AR111" s="494">
        <v>-7.2499999999999995E-2</v>
      </c>
      <c r="AS111" s="494">
        <v>-0.08</v>
      </c>
      <c r="AT111" s="494">
        <v>-0.08</v>
      </c>
      <c r="AU111" s="494">
        <v>-0.08</v>
      </c>
      <c r="AV111" s="494">
        <v>-0.08</v>
      </c>
      <c r="AW111" s="494">
        <v>-0.08</v>
      </c>
      <c r="AX111" s="494">
        <v>-0.105</v>
      </c>
      <c r="AY111" s="494">
        <v>-0.105</v>
      </c>
      <c r="AZ111" s="494">
        <v>-0.105</v>
      </c>
      <c r="BA111" s="34">
        <f>BA112/BA110</f>
        <v>-8.2705000000000001E-2</v>
      </c>
    </row>
    <row r="112" spans="2:53">
      <c r="E112" s="361"/>
      <c r="F112" s="10" t="s">
        <v>439</v>
      </c>
      <c r="G112" s="39">
        <f>G110*G111</f>
        <v>21235</v>
      </c>
      <c r="H112" s="39">
        <f t="shared" ref="H112:R112" si="114">H110*H111</f>
        <v>18290</v>
      </c>
      <c r="I112" s="39">
        <f t="shared" si="114"/>
        <v>6900</v>
      </c>
      <c r="J112" s="39">
        <f t="shared" si="114"/>
        <v>17825</v>
      </c>
      <c r="K112" s="39">
        <f t="shared" si="114"/>
        <v>12450</v>
      </c>
      <c r="L112" s="39">
        <f t="shared" si="114"/>
        <v>27900</v>
      </c>
      <c r="M112" s="39">
        <f t="shared" si="114"/>
        <v>11625</v>
      </c>
      <c r="N112" s="39">
        <f t="shared" si="114"/>
        <v>-5655</v>
      </c>
      <c r="O112" s="39">
        <f t="shared" si="114"/>
        <v>3875</v>
      </c>
      <c r="P112" s="39">
        <f t="shared" si="114"/>
        <v>750</v>
      </c>
      <c r="Q112" s="39">
        <f t="shared" si="114"/>
        <v>6045</v>
      </c>
      <c r="R112" s="39">
        <f t="shared" si="114"/>
        <v>2250</v>
      </c>
      <c r="S112" s="197">
        <f>SUM(G112:R112)</f>
        <v>123490</v>
      </c>
      <c r="V112" s="218"/>
      <c r="W112" s="10" t="s">
        <v>439</v>
      </c>
      <c r="X112" s="39">
        <f>X110*X111</f>
        <v>-5115</v>
      </c>
      <c r="Y112" s="39">
        <f t="shared" ref="Y112:AI112" si="115">Y110*Y111</f>
        <v>-3487.5</v>
      </c>
      <c r="Z112" s="39">
        <f t="shared" si="115"/>
        <v>-11250</v>
      </c>
      <c r="AA112" s="39">
        <f t="shared" si="115"/>
        <v>-17825</v>
      </c>
      <c r="AB112" s="39">
        <f t="shared" si="115"/>
        <v>-7500</v>
      </c>
      <c r="AC112" s="39">
        <f t="shared" si="115"/>
        <v>-7750</v>
      </c>
      <c r="AD112" s="39">
        <f t="shared" si="115"/>
        <v>-7750</v>
      </c>
      <c r="AE112" s="39">
        <f t="shared" si="115"/>
        <v>-7000</v>
      </c>
      <c r="AF112" s="39">
        <f t="shared" si="115"/>
        <v>-7750</v>
      </c>
      <c r="AG112" s="39">
        <f t="shared" si="115"/>
        <v>-10875</v>
      </c>
      <c r="AH112" s="39">
        <f t="shared" si="115"/>
        <v>-11237.5</v>
      </c>
      <c r="AI112" s="39">
        <f t="shared" si="115"/>
        <v>-10875</v>
      </c>
      <c r="AJ112" s="43">
        <f>SUM(X112:AI112)</f>
        <v>-108415</v>
      </c>
      <c r="AM112" s="218"/>
      <c r="AN112" s="10" t="s">
        <v>439</v>
      </c>
      <c r="AO112" s="39">
        <f>AO110*AO111</f>
        <v>-11237.5</v>
      </c>
      <c r="AP112" s="39">
        <f t="shared" ref="AP112:AZ112" si="116">AP110*AP111</f>
        <v>-11237.5</v>
      </c>
      <c r="AQ112" s="39">
        <f t="shared" si="116"/>
        <v>-10875</v>
      </c>
      <c r="AR112" s="39">
        <f t="shared" si="116"/>
        <v>-11237.5</v>
      </c>
      <c r="AS112" s="39">
        <f t="shared" si="116"/>
        <v>-29600</v>
      </c>
      <c r="AT112" s="39">
        <f t="shared" si="116"/>
        <v>-17600</v>
      </c>
      <c r="AU112" s="39">
        <f t="shared" si="116"/>
        <v>-22400</v>
      </c>
      <c r="AV112" s="39">
        <f t="shared" si="116"/>
        <v>-18800</v>
      </c>
      <c r="AW112" s="39">
        <f t="shared" si="116"/>
        <v>-26000</v>
      </c>
      <c r="AX112" s="39">
        <f t="shared" si="116"/>
        <v>-15750</v>
      </c>
      <c r="AY112" s="39">
        <f t="shared" si="116"/>
        <v>-16275</v>
      </c>
      <c r="AZ112" s="39">
        <f t="shared" si="116"/>
        <v>-15750</v>
      </c>
      <c r="BA112" s="43">
        <f>SUM(AO112:AZ112)</f>
        <v>-206762.5</v>
      </c>
    </row>
    <row r="113" spans="3:53">
      <c r="E113" s="361"/>
      <c r="F113" s="10" t="s">
        <v>805</v>
      </c>
      <c r="G113" s="39"/>
      <c r="H113" s="39"/>
      <c r="I113" s="39"/>
      <c r="J113" s="39"/>
      <c r="K113" s="409">
        <v>3.9E-2</v>
      </c>
      <c r="L113" s="409">
        <v>4.2000000000000003E-2</v>
      </c>
      <c r="M113" s="409">
        <v>3.3000000000000002E-2</v>
      </c>
      <c r="N113" s="458">
        <v>-1.6E-2</v>
      </c>
      <c r="O113" s="409">
        <v>4.0000000000000001E-3</v>
      </c>
      <c r="P113" s="195"/>
      <c r="Q113" s="195"/>
      <c r="R113" s="39"/>
      <c r="S113" s="197"/>
      <c r="V113" s="218"/>
      <c r="W113" s="10" t="s">
        <v>805</v>
      </c>
      <c r="X113" s="39"/>
      <c r="Y113" s="39"/>
      <c r="Z113" s="39"/>
      <c r="AA113" s="39"/>
      <c r="AB113" s="494">
        <v>-0.02</v>
      </c>
      <c r="AC113" s="494">
        <v>-0.02</v>
      </c>
      <c r="AD113" s="494">
        <v>-0.02</v>
      </c>
      <c r="AE113" s="494">
        <v>-0.02</v>
      </c>
      <c r="AF113" s="494">
        <v>-0.02</v>
      </c>
      <c r="AG113" s="39"/>
      <c r="AH113" s="39"/>
      <c r="AI113" s="39"/>
      <c r="AJ113" s="43"/>
      <c r="AM113" s="218"/>
      <c r="AN113" s="10" t="s">
        <v>805</v>
      </c>
      <c r="AO113" s="39"/>
      <c r="AP113" s="39"/>
      <c r="AQ113" s="39"/>
      <c r="AR113" s="39"/>
      <c r="AS113" s="494">
        <v>-4.2500000000000003E-2</v>
      </c>
      <c r="AT113" s="494">
        <v>-4.2500000000000003E-2</v>
      </c>
      <c r="AU113" s="494">
        <v>-4.2500000000000003E-2</v>
      </c>
      <c r="AV113" s="494">
        <v>-4.2500000000000003E-2</v>
      </c>
      <c r="AW113" s="494">
        <v>-4.2500000000000003E-2</v>
      </c>
      <c r="AX113" s="39"/>
      <c r="AY113" s="39"/>
      <c r="AZ113" s="39"/>
      <c r="BA113" s="43"/>
    </row>
    <row r="114" spans="3:53">
      <c r="E114" s="361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197"/>
      <c r="V114" s="218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43"/>
      <c r="AM114" s="218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43"/>
    </row>
    <row r="115" spans="3:53" s="10" customFormat="1">
      <c r="E115" s="358"/>
      <c r="F115" s="11" t="s">
        <v>96</v>
      </c>
      <c r="G115" s="32">
        <f>(G107*G109)+G112</f>
        <v>2037585.2701929833</v>
      </c>
      <c r="H115" s="32">
        <f t="shared" ref="H115:R115" si="117">(H107*H109)+H112</f>
        <v>1648510.741052632</v>
      </c>
      <c r="I115" s="32">
        <f t="shared" si="117"/>
        <v>1841379.5684771934</v>
      </c>
      <c r="J115" s="32">
        <f t="shared" si="117"/>
        <v>3304779.7505479231</v>
      </c>
      <c r="K115" s="32">
        <f t="shared" si="117"/>
        <v>2731280.7556964001</v>
      </c>
      <c r="L115" s="32">
        <f t="shared" si="117"/>
        <v>2324522.0614626044</v>
      </c>
      <c r="M115" s="32">
        <f t="shared" si="117"/>
        <v>1925866.4836210536</v>
      </c>
      <c r="N115" s="32">
        <f t="shared" si="117"/>
        <v>1492938.7047841195</v>
      </c>
      <c r="O115" s="32">
        <f t="shared" si="117"/>
        <v>1611934.3050101574</v>
      </c>
      <c r="P115" s="32">
        <f t="shared" si="117"/>
        <v>2073484.3598005546</v>
      </c>
      <c r="Q115" s="32">
        <f t="shared" si="117"/>
        <v>1264986.7657780242</v>
      </c>
      <c r="R115" s="32">
        <f t="shared" si="117"/>
        <v>1145187.2797257619</v>
      </c>
      <c r="S115" s="197">
        <f>SUM(G115:R115)</f>
        <v>23402456.046149403</v>
      </c>
      <c r="T115" s="30">
        <f>S115-'[5]FT GAS'!$AJ$115</f>
        <v>-23089973.961516172</v>
      </c>
      <c r="W115" s="11" t="s">
        <v>96</v>
      </c>
      <c r="X115" s="32">
        <f>X107*X109</f>
        <v>1515206.9578694736</v>
      </c>
      <c r="Y115" s="32">
        <f t="shared" ref="Y115:AI115" si="118">Y107*Y109</f>
        <v>1817346.8314065929</v>
      </c>
      <c r="Z115" s="32">
        <f t="shared" si="118"/>
        <v>1971467.3019632874</v>
      </c>
      <c r="AA115" s="32">
        <f t="shared" si="118"/>
        <v>3329832.5042280355</v>
      </c>
      <c r="AB115" s="32">
        <f t="shared" si="118"/>
        <v>3752393.4242437682</v>
      </c>
      <c r="AC115" s="32">
        <f t="shared" si="118"/>
        <v>3117440.6479798346</v>
      </c>
      <c r="AD115" s="32">
        <f t="shared" si="118"/>
        <v>3593088.866408024</v>
      </c>
      <c r="AE115" s="32">
        <f t="shared" si="118"/>
        <v>2757202.5296679791</v>
      </c>
      <c r="AF115" s="32">
        <f t="shared" si="118"/>
        <v>3438354.2508954774</v>
      </c>
      <c r="AG115" s="32">
        <f t="shared" si="118"/>
        <v>4437273.2544221058</v>
      </c>
      <c r="AH115" s="32">
        <f t="shared" si="118"/>
        <v>2989258.587713297</v>
      </c>
      <c r="AI115" s="32">
        <f t="shared" si="118"/>
        <v>2426045.4287150516</v>
      </c>
      <c r="AJ115" s="43">
        <f>SUM(X115:AI115)</f>
        <v>35144910.585512929</v>
      </c>
      <c r="AN115" s="11" t="s">
        <v>96</v>
      </c>
      <c r="AO115" s="32">
        <f t="shared" ref="AO115:AZ115" si="119">AO107*AO109</f>
        <v>3857997.8845701204</v>
      </c>
      <c r="AP115" s="32">
        <f t="shared" si="119"/>
        <v>4043747.4713719115</v>
      </c>
      <c r="AQ115" s="32">
        <f t="shared" si="119"/>
        <v>3735631.8078416255</v>
      </c>
      <c r="AR115" s="32">
        <f t="shared" si="119"/>
        <v>5080940.7700272584</v>
      </c>
      <c r="AS115" s="32">
        <f t="shared" si="119"/>
        <v>6502484.3482770091</v>
      </c>
      <c r="AT115" s="32">
        <f t="shared" si="119"/>
        <v>6574093.4222878693</v>
      </c>
      <c r="AU115" s="32">
        <f t="shared" si="119"/>
        <v>7176197.1937809996</v>
      </c>
      <c r="AV115" s="32">
        <f t="shared" si="119"/>
        <v>5833991.5662380615</v>
      </c>
      <c r="AW115" s="32">
        <f t="shared" si="119"/>
        <v>6170155.9293246921</v>
      </c>
      <c r="AX115" s="32">
        <f t="shared" si="119"/>
        <v>6259916.6979862237</v>
      </c>
      <c r="AY115" s="32">
        <f t="shared" si="119"/>
        <v>5008552.3112276457</v>
      </c>
      <c r="AZ115" s="32">
        <f t="shared" si="119"/>
        <v>4354305.1582801845</v>
      </c>
      <c r="BA115" s="43">
        <f>SUM(AO115:AZ115)</f>
        <v>64598014.561213605</v>
      </c>
    </row>
    <row r="116" spans="3:53" s="10" customFormat="1">
      <c r="E116" s="358"/>
      <c r="F116" s="10" t="s">
        <v>102</v>
      </c>
      <c r="G116" s="32">
        <f t="shared" ref="G116:R116" si="120">SUM(G45,G105,G115)</f>
        <v>4806068.1701929839</v>
      </c>
      <c r="H116" s="32">
        <f t="shared" si="120"/>
        <v>4395544.7410526322</v>
      </c>
      <c r="I116" s="32">
        <f t="shared" si="120"/>
        <v>3850779.5684771934</v>
      </c>
      <c r="J116" s="32">
        <f t="shared" si="120"/>
        <v>4955145.3505479228</v>
      </c>
      <c r="K116" s="32">
        <f t="shared" si="120"/>
        <v>5478980.7556964001</v>
      </c>
      <c r="L116" s="32">
        <f t="shared" si="120"/>
        <v>5909982.0614626044</v>
      </c>
      <c r="M116" s="32">
        <f t="shared" si="120"/>
        <v>5381126.4836210534</v>
      </c>
      <c r="N116" s="32">
        <f t="shared" si="120"/>
        <v>4548668.7047841195</v>
      </c>
      <c r="O116" s="32">
        <f t="shared" si="120"/>
        <v>4372794.3050101576</v>
      </c>
      <c r="P116" s="32">
        <f t="shared" si="120"/>
        <v>3416485.3598005548</v>
      </c>
      <c r="Q116" s="32">
        <f t="shared" si="120"/>
        <v>2627535.9657780239</v>
      </c>
      <c r="R116" s="32">
        <f t="shared" si="120"/>
        <v>2620779.2797257621</v>
      </c>
      <c r="S116" s="39">
        <f>SUM(G116:R116)</f>
        <v>52363890.746149398</v>
      </c>
      <c r="W116" s="10" t="s">
        <v>102</v>
      </c>
      <c r="X116" s="32">
        <f t="shared" ref="X116:AI116" si="121">SUM(X45,X105,X115)</f>
        <v>3133989.7578694737</v>
      </c>
      <c r="Y116" s="32">
        <f t="shared" si="121"/>
        <v>3542720.0314065926</v>
      </c>
      <c r="Z116" s="32">
        <f t="shared" si="121"/>
        <v>3336917.3019632874</v>
      </c>
      <c r="AA116" s="32">
        <f t="shared" si="121"/>
        <v>4479117.2042280352</v>
      </c>
      <c r="AB116" s="32">
        <f t="shared" si="121"/>
        <v>5660168.4242437687</v>
      </c>
      <c r="AC116" s="32">
        <f t="shared" si="121"/>
        <v>5737018.147979835</v>
      </c>
      <c r="AD116" s="32">
        <f t="shared" si="121"/>
        <v>6303341.366408024</v>
      </c>
      <c r="AE116" s="32">
        <f t="shared" si="121"/>
        <v>5208952.5296679791</v>
      </c>
      <c r="AF116" s="32">
        <f t="shared" si="121"/>
        <v>5576672.2508954778</v>
      </c>
      <c r="AG116" s="32">
        <f t="shared" si="121"/>
        <v>5806725.2544221058</v>
      </c>
      <c r="AH116" s="32">
        <f t="shared" si="121"/>
        <v>4364806.0877132975</v>
      </c>
      <c r="AI116" s="32">
        <f t="shared" si="121"/>
        <v>3810125.4287150516</v>
      </c>
      <c r="AJ116" s="32">
        <f>SUM(X116:AI116)</f>
        <v>56960553.785512924</v>
      </c>
      <c r="AN116" s="10" t="s">
        <v>102</v>
      </c>
      <c r="AO116" s="32">
        <f>SUM(AO105,AO115)</f>
        <v>3857997.8845701204</v>
      </c>
      <c r="AP116" s="32">
        <f t="shared" ref="AP116:AZ116" si="122">SUM(AP105,AP115)</f>
        <v>4043747.4713719115</v>
      </c>
      <c r="AQ116" s="32">
        <f t="shared" si="122"/>
        <v>3735631.8078416255</v>
      </c>
      <c r="AR116" s="32">
        <f t="shared" si="122"/>
        <v>5080940.7700272584</v>
      </c>
      <c r="AS116" s="32">
        <f t="shared" si="122"/>
        <v>6502484.3482770091</v>
      </c>
      <c r="AT116" s="32">
        <f t="shared" si="122"/>
        <v>6574093.4222878693</v>
      </c>
      <c r="AU116" s="32">
        <f t="shared" si="122"/>
        <v>7176197.1937809996</v>
      </c>
      <c r="AV116" s="32">
        <f t="shared" si="122"/>
        <v>5833991.5662380615</v>
      </c>
      <c r="AW116" s="32">
        <f t="shared" si="122"/>
        <v>6170155.9293246921</v>
      </c>
      <c r="AX116" s="32">
        <f t="shared" si="122"/>
        <v>6259916.6979862237</v>
      </c>
      <c r="AY116" s="32">
        <f t="shared" si="122"/>
        <v>5008552.3112276457</v>
      </c>
      <c r="AZ116" s="32">
        <f t="shared" si="122"/>
        <v>4354305.1582801845</v>
      </c>
      <c r="BA116" s="32">
        <f>SUM(AO116:AZ116)</f>
        <v>64598014.561213605</v>
      </c>
    </row>
    <row r="117" spans="3:53" s="10" customFormat="1">
      <c r="E117" s="358"/>
      <c r="F117" s="455" t="s">
        <v>768</v>
      </c>
      <c r="G117" s="16">
        <f t="shared" ref="G117:S117" si="123">G116/G39</f>
        <v>4.2911932614863444</v>
      </c>
      <c r="H117" s="16">
        <f t="shared" si="123"/>
        <v>4.2486850657612028</v>
      </c>
      <c r="I117" s="16">
        <f t="shared" si="123"/>
        <v>3.8483803737312967</v>
      </c>
      <c r="J117" s="16">
        <f t="shared" si="123"/>
        <v>3.7961076836130903</v>
      </c>
      <c r="K117" s="17">
        <f t="shared" si="123"/>
        <v>3.5658413479590974</v>
      </c>
      <c r="L117" s="17">
        <f t="shared" si="123"/>
        <v>3.4336290967466763</v>
      </c>
      <c r="M117" s="17">
        <f t="shared" si="123"/>
        <v>3.2432037496774391</v>
      </c>
      <c r="N117" s="17">
        <f t="shared" si="123"/>
        <v>2.970861113437929</v>
      </c>
      <c r="O117" s="17">
        <f t="shared" si="123"/>
        <v>2.8666089358989519</v>
      </c>
      <c r="P117" s="16">
        <f t="shared" si="123"/>
        <v>2.3857770257522146</v>
      </c>
      <c r="Q117" s="16">
        <f t="shared" si="123"/>
        <v>2.1651814882009792</v>
      </c>
      <c r="R117" s="16">
        <f t="shared" si="123"/>
        <v>2.4758476245408301</v>
      </c>
      <c r="S117" s="195">
        <f t="shared" si="123"/>
        <v>3.2447489947817885</v>
      </c>
      <c r="W117" s="10" t="s">
        <v>768</v>
      </c>
      <c r="X117" s="17">
        <f t="shared" ref="X117:AJ117" si="124">X116/X39</f>
        <v>2.9892577861783929</v>
      </c>
      <c r="Y117" s="17">
        <f t="shared" si="124"/>
        <v>3.2440822721337863</v>
      </c>
      <c r="Z117" s="17">
        <f t="shared" si="124"/>
        <v>3.2846288069607645</v>
      </c>
      <c r="AA117" s="17">
        <f t="shared" si="124"/>
        <v>3.3032752753814951</v>
      </c>
      <c r="AB117" s="17">
        <f t="shared" si="124"/>
        <v>3.3478222599699174</v>
      </c>
      <c r="AC117" s="17">
        <f t="shared" si="124"/>
        <v>3.5837455895852415</v>
      </c>
      <c r="AD117" s="17">
        <f t="shared" si="124"/>
        <v>3.7059385731649161</v>
      </c>
      <c r="AE117" s="17">
        <f t="shared" si="124"/>
        <v>3.724230827295854</v>
      </c>
      <c r="AF117" s="17">
        <f t="shared" si="124"/>
        <v>3.6948327150592175</v>
      </c>
      <c r="AG117" s="17">
        <f t="shared" si="124"/>
        <v>3.6263433802357543</v>
      </c>
      <c r="AH117" s="17">
        <f t="shared" si="124"/>
        <v>3.4295192008728161</v>
      </c>
      <c r="AI117" s="17">
        <f t="shared" si="124"/>
        <v>3.4497212045698173</v>
      </c>
      <c r="AJ117" s="34">
        <f t="shared" si="124"/>
        <v>3.4750669496557531</v>
      </c>
      <c r="AN117" s="10" t="s">
        <v>110</v>
      </c>
      <c r="AO117" s="16">
        <f t="shared" ref="AO117:BA117" si="125">AO116/AO39</f>
        <v>3.6040000000000001</v>
      </c>
      <c r="AP117" s="16">
        <f t="shared" si="125"/>
        <v>3.6269999999999998</v>
      </c>
      <c r="AQ117" s="16">
        <f t="shared" si="125"/>
        <v>3.6320000000000001</v>
      </c>
      <c r="AR117" s="16">
        <f t="shared" si="125"/>
        <v>3.6659999999999999</v>
      </c>
      <c r="AS117" s="16">
        <f t="shared" si="125"/>
        <v>3.78</v>
      </c>
      <c r="AT117" s="16">
        <f t="shared" si="125"/>
        <v>3.9860000000000007</v>
      </c>
      <c r="AU117" s="16">
        <f t="shared" si="125"/>
        <v>4.0979999999999999</v>
      </c>
      <c r="AV117" s="16">
        <f t="shared" si="125"/>
        <v>4.077</v>
      </c>
      <c r="AW117" s="16">
        <f t="shared" si="125"/>
        <v>4.0060000000000002</v>
      </c>
      <c r="AX117" s="16">
        <f t="shared" si="125"/>
        <v>3.8540000000000001</v>
      </c>
      <c r="AY117" s="16">
        <f t="shared" si="125"/>
        <v>3.8710000000000004</v>
      </c>
      <c r="AZ117" s="16">
        <f t="shared" si="125"/>
        <v>3.8959999999999995</v>
      </c>
      <c r="BA117" s="34">
        <f t="shared" si="125"/>
        <v>3.8617863225913585</v>
      </c>
    </row>
    <row r="118" spans="3:53" s="11" customFormat="1">
      <c r="E118" s="359"/>
      <c r="F118" s="11" t="s">
        <v>463</v>
      </c>
      <c r="G118" s="184">
        <f>G109-G106</f>
        <v>-8.5749999999999993E-2</v>
      </c>
      <c r="H118" s="184">
        <f>H109-H106</f>
        <v>-9.4999999999999751E-2</v>
      </c>
      <c r="I118" s="184">
        <f t="shared" ref="I118:O118" si="126">I109-I106</f>
        <v>-0.21074999999999999</v>
      </c>
      <c r="J118" s="184">
        <f t="shared" si="126"/>
        <v>-0.23525000000000018</v>
      </c>
      <c r="K118" s="184">
        <f t="shared" si="126"/>
        <v>-0.33729032258064517</v>
      </c>
      <c r="L118" s="184">
        <f t="shared" si="126"/>
        <v>-0.44410810810810819</v>
      </c>
      <c r="M118" s="184">
        <f t="shared" si="126"/>
        <v>-0.724108108108108</v>
      </c>
      <c r="N118" s="184">
        <f t="shared" si="126"/>
        <v>-1.1301081081081081</v>
      </c>
      <c r="O118" s="184">
        <f t="shared" si="126"/>
        <v>-1.337333333333333</v>
      </c>
      <c r="P118" s="184">
        <f>P109-P106</f>
        <v>2.1909999999999998</v>
      </c>
      <c r="Q118" s="184">
        <f>Q109-Q106</f>
        <v>2.036</v>
      </c>
      <c r="R118" s="184">
        <f>R109-R106</f>
        <v>2.4289999999999998</v>
      </c>
      <c r="S118" s="204">
        <f>S119/S85</f>
        <v>-0.44067363950741367</v>
      </c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O118" s="34"/>
      <c r="AP118" s="34"/>
      <c r="AQ118" s="34"/>
      <c r="AR118" s="34"/>
      <c r="AS118" s="34"/>
      <c r="AT118" s="34"/>
      <c r="AU118" s="34"/>
      <c r="AV118" s="34"/>
      <c r="AW118" s="34"/>
      <c r="AX118" s="34"/>
      <c r="AY118" s="34"/>
      <c r="AZ118" s="34"/>
      <c r="BA118" s="34"/>
    </row>
    <row r="119" spans="3:53" s="11" customFormat="1">
      <c r="E119" s="359"/>
      <c r="F119" s="11" t="s">
        <v>464</v>
      </c>
      <c r="G119" s="169">
        <f t="shared" ref="G119:O119" si="127">G118*G85</f>
        <v>-19936.875</v>
      </c>
      <c r="H119" s="169">
        <f t="shared" si="127"/>
        <v>-22087.499999999942</v>
      </c>
      <c r="I119" s="169">
        <f t="shared" si="127"/>
        <v>-47418.75</v>
      </c>
      <c r="J119" s="169">
        <f t="shared" si="127"/>
        <v>-54695.625000000044</v>
      </c>
      <c r="K119" s="169">
        <f t="shared" si="127"/>
        <v>-126483.87096774194</v>
      </c>
      <c r="L119" s="169">
        <f t="shared" si="127"/>
        <v>-206510.2702702703</v>
      </c>
      <c r="M119" s="169">
        <f t="shared" si="127"/>
        <v>-336710.27027027024</v>
      </c>
      <c r="N119" s="169">
        <f t="shared" si="127"/>
        <v>-491597.02702702704</v>
      </c>
      <c r="O119" s="169">
        <f t="shared" si="127"/>
        <v>-621859.99999999988</v>
      </c>
      <c r="P119" s="169">
        <f>P118*P85</f>
        <v>328650</v>
      </c>
      <c r="Q119" s="169">
        <f>Q118*Q85</f>
        <v>315580</v>
      </c>
      <c r="R119" s="169">
        <f>R118*R85</f>
        <v>364350</v>
      </c>
      <c r="S119" s="190">
        <f>SUM(H119:P119)</f>
        <v>-1578713.3135353094</v>
      </c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O119" s="34"/>
      <c r="AP119" s="34"/>
      <c r="AQ119" s="34"/>
      <c r="AR119" s="34"/>
      <c r="AS119" s="34"/>
      <c r="AT119" s="34"/>
      <c r="AU119" s="34"/>
      <c r="AV119" s="34"/>
      <c r="AW119" s="34"/>
      <c r="AX119" s="34"/>
      <c r="AY119" s="34"/>
      <c r="AZ119" s="34"/>
      <c r="BA119" s="34"/>
    </row>
    <row r="120" spans="3:53" s="10" customFormat="1">
      <c r="E120" s="358"/>
      <c r="G120" s="16">
        <f>G117-'[5]FT GAS'!X117</f>
        <v>2.5344266181737574E-2</v>
      </c>
      <c r="H120" s="16">
        <f>H117-'[5]FT GAS'!Y117</f>
        <v>3.6873895309685878E-3</v>
      </c>
      <c r="I120" s="16">
        <f>I117-'[5]FT GAS'!Z117</f>
        <v>-0.41115884494627464</v>
      </c>
      <c r="J120" s="16">
        <f>J117-'[5]FT GAS'!AA117</f>
        <v>-0.52919792802160304</v>
      </c>
      <c r="K120" s="16">
        <f>K117-'[5]FT GAS'!AB117</f>
        <v>-0.85902692059347219</v>
      </c>
      <c r="L120" s="16">
        <f>L117-'[5]FT GAS'!AC117</f>
        <v>-1.1413094369006949</v>
      </c>
      <c r="M120" s="16">
        <f>M117-'[5]FT GAS'!AD117</f>
        <v>-1.4429918494248235</v>
      </c>
      <c r="N120" s="16">
        <f>N117-'[5]FT GAS'!AE117</f>
        <v>-1.7032106645371763</v>
      </c>
      <c r="O120" s="16">
        <f>O117-'[5]FT GAS'!AF117</f>
        <v>-1.8028150844509088</v>
      </c>
      <c r="P120" s="16">
        <f>P117-'[5]FT GAS'!AG117</f>
        <v>-2.2144263723222553</v>
      </c>
      <c r="Q120" s="16">
        <f>Q117-'[5]FT GAS'!AH117</f>
        <v>-2.4185339390688925</v>
      </c>
      <c r="R120" s="16">
        <f>R117-'[5]FT GAS'!AI117</f>
        <v>-2.1191188070370344</v>
      </c>
      <c r="S120" s="17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</row>
    <row r="121" spans="3:53">
      <c r="C121" s="10" t="s">
        <v>84</v>
      </c>
      <c r="D121" s="10" t="s">
        <v>97</v>
      </c>
      <c r="E121" s="358" t="s">
        <v>81</v>
      </c>
      <c r="F121" s="11" t="s">
        <v>103</v>
      </c>
      <c r="S121" s="24"/>
      <c r="T121" s="10" t="s">
        <v>84</v>
      </c>
      <c r="U121" s="10" t="s">
        <v>97</v>
      </c>
      <c r="V121" s="10" t="s">
        <v>81</v>
      </c>
      <c r="W121" s="11" t="s">
        <v>103</v>
      </c>
      <c r="AJ121" s="10"/>
      <c r="AK121" s="10" t="s">
        <v>84</v>
      </c>
      <c r="AL121" s="10" t="s">
        <v>97</v>
      </c>
      <c r="AM121" s="10" t="s">
        <v>81</v>
      </c>
      <c r="AN121" s="11" t="s">
        <v>103</v>
      </c>
      <c r="BA121" s="10"/>
    </row>
    <row r="122" spans="3:53">
      <c r="C122" s="175">
        <v>4.4999999999999998E-2</v>
      </c>
      <c r="D122" s="16">
        <v>0.05</v>
      </c>
      <c r="F122" s="10" t="s">
        <v>98</v>
      </c>
      <c r="G122" s="16">
        <f>(G109/(1-$C$122))+$D$122</f>
        <v>4.6123036649214662</v>
      </c>
      <c r="H122" s="16">
        <f t="shared" ref="H122:S122" si="128">(H109/(1-$C$122))+$D$122</f>
        <v>4.5735602094240839</v>
      </c>
      <c r="I122" s="16">
        <f t="shared" si="128"/>
        <v>4.0887434554973821</v>
      </c>
      <c r="J122" s="16">
        <f t="shared" si="128"/>
        <v>3.9861256544502615</v>
      </c>
      <c r="K122" s="16">
        <f t="shared" si="128"/>
        <v>3.7400523560209424</v>
      </c>
      <c r="L122" s="16">
        <f t="shared" si="128"/>
        <v>3.5725130890052355</v>
      </c>
      <c r="M122" s="16">
        <f t="shared" si="128"/>
        <v>3.2793193717277487</v>
      </c>
      <c r="N122" s="16">
        <f t="shared" si="128"/>
        <v>2.8541884816753926</v>
      </c>
      <c r="O122" s="16">
        <f t="shared" si="128"/>
        <v>2.6112565445026181</v>
      </c>
      <c r="P122" s="16">
        <f t="shared" si="128"/>
        <v>2.3442408376963346</v>
      </c>
      <c r="Q122" s="16">
        <f t="shared" si="128"/>
        <v>2.1819371727748691</v>
      </c>
      <c r="R122" s="16">
        <f t="shared" si="128"/>
        <v>2.5934554973821986</v>
      </c>
      <c r="S122" s="17">
        <f t="shared" si="128"/>
        <v>3.2927496726410013</v>
      </c>
      <c r="T122" s="144">
        <v>4.4999999999999998E-2</v>
      </c>
      <c r="U122" s="99">
        <v>0.05</v>
      </c>
      <c r="V122" s="99"/>
      <c r="W122" s="10" t="s">
        <v>98</v>
      </c>
      <c r="X122" s="16">
        <f>(X109/(1-$T$122))+$U$122</f>
        <v>2.9547120418848167</v>
      </c>
      <c r="Y122" s="16">
        <f t="shared" ref="Y122:AJ122" si="129">(Y109/(1-$T$122))+$U$122</f>
        <v>3.2761780104712042</v>
      </c>
      <c r="Z122" s="16">
        <f t="shared" si="129"/>
        <v>3.2709424083769636</v>
      </c>
      <c r="AA122" s="16">
        <f t="shared" si="129"/>
        <v>3.2782722513089007</v>
      </c>
      <c r="AB122" s="16">
        <f t="shared" si="129"/>
        <v>3.4206806282722511</v>
      </c>
      <c r="AC122" s="16">
        <f t="shared" si="129"/>
        <v>3.663612565445026</v>
      </c>
      <c r="AD122" s="16">
        <f t="shared" si="129"/>
        <v>3.7997382198952878</v>
      </c>
      <c r="AE122" s="16">
        <f t="shared" si="129"/>
        <v>3.8060209424083773</v>
      </c>
      <c r="AF122" s="16">
        <f t="shared" si="129"/>
        <v>3.7620418848167536</v>
      </c>
      <c r="AG122" s="16">
        <f t="shared" si="129"/>
        <v>3.7222513089005238</v>
      </c>
      <c r="AH122" s="16">
        <f t="shared" si="129"/>
        <v>3.7410994764397905</v>
      </c>
      <c r="AI122" s="16">
        <f t="shared" si="129"/>
        <v>3.7777486910994766</v>
      </c>
      <c r="AJ122" s="16">
        <f t="shared" si="129"/>
        <v>3.567310533497619</v>
      </c>
      <c r="AK122" s="144">
        <v>4.4999999999999998E-2</v>
      </c>
      <c r="AL122" s="99">
        <v>0.05</v>
      </c>
      <c r="AM122" s="99"/>
      <c r="AN122" s="10" t="s">
        <v>98</v>
      </c>
      <c r="AO122" s="16">
        <f>(AO109/(1-$T$122))+$U$122</f>
        <v>3.8238219895287959</v>
      </c>
      <c r="AP122" s="16">
        <f t="shared" ref="AP122:BA122" si="130">(AP109/(1-$T$122))+$U$122</f>
        <v>3.8479057591623036</v>
      </c>
      <c r="AQ122" s="16">
        <f t="shared" si="130"/>
        <v>3.8531413612565446</v>
      </c>
      <c r="AR122" s="16">
        <f t="shared" si="130"/>
        <v>3.8887434554973823</v>
      </c>
      <c r="AS122" s="16">
        <f t="shared" si="130"/>
        <v>4.0081151832460735</v>
      </c>
      <c r="AT122" s="16">
        <f t="shared" si="130"/>
        <v>4.2238219895287958</v>
      </c>
      <c r="AU122" s="16">
        <f t="shared" si="130"/>
        <v>4.3410994764397905</v>
      </c>
      <c r="AV122" s="16">
        <f t="shared" si="130"/>
        <v>4.3191099476439794</v>
      </c>
      <c r="AW122" s="16">
        <f t="shared" si="130"/>
        <v>4.244764397905759</v>
      </c>
      <c r="AX122" s="16">
        <f t="shared" si="130"/>
        <v>4.085602094240838</v>
      </c>
      <c r="AY122" s="16">
        <f t="shared" si="130"/>
        <v>4.1034031413612562</v>
      </c>
      <c r="AZ122" s="16">
        <f t="shared" si="130"/>
        <v>4.1295811518324603</v>
      </c>
      <c r="BA122" s="16">
        <f t="shared" si="130"/>
        <v>4.0937553116139878</v>
      </c>
    </row>
    <row r="123" spans="3:53">
      <c r="C123" s="175">
        <v>2.5000000000000001E-2</v>
      </c>
      <c r="E123" s="358">
        <v>1.04</v>
      </c>
      <c r="F123" s="10" t="s">
        <v>99</v>
      </c>
      <c r="G123" s="16">
        <f>G122*$E$123/(1-$C$123)</f>
        <v>4.919790575916231</v>
      </c>
      <c r="H123" s="16">
        <f t="shared" ref="H123:S123" si="131">H122*$E$123/(1-$C$123)</f>
        <v>4.8784642233856905</v>
      </c>
      <c r="I123" s="16">
        <f t="shared" si="131"/>
        <v>4.3613263525305417</v>
      </c>
      <c r="J123" s="16">
        <f t="shared" si="131"/>
        <v>4.2518673647469463</v>
      </c>
      <c r="K123" s="16">
        <f t="shared" si="131"/>
        <v>3.9893891797556722</v>
      </c>
      <c r="L123" s="16">
        <f t="shared" si="131"/>
        <v>3.8106806282722512</v>
      </c>
      <c r="M123" s="16">
        <f t="shared" si="131"/>
        <v>3.4979406631762653</v>
      </c>
      <c r="N123" s="16">
        <f t="shared" si="131"/>
        <v>3.0444677137870855</v>
      </c>
      <c r="O123" s="16">
        <f t="shared" si="131"/>
        <v>2.7853403141361261</v>
      </c>
      <c r="P123" s="16">
        <f t="shared" si="131"/>
        <v>2.5005235602094236</v>
      </c>
      <c r="Q123" s="16">
        <f t="shared" si="131"/>
        <v>2.3273996509598605</v>
      </c>
      <c r="R123" s="16">
        <f t="shared" si="131"/>
        <v>2.7663525305410119</v>
      </c>
      <c r="S123" s="17">
        <f t="shared" si="131"/>
        <v>3.5122663174837347</v>
      </c>
      <c r="T123" s="144">
        <v>2.5000000000000001E-2</v>
      </c>
      <c r="V123" s="147">
        <v>1.04</v>
      </c>
      <c r="W123" s="10" t="s">
        <v>99</v>
      </c>
      <c r="X123" s="16">
        <f>X122*$V$123/(1-$T$123)</f>
        <v>3.1516928446771382</v>
      </c>
      <c r="Y123" s="16">
        <f t="shared" ref="Y123:AJ123" si="132">Y122*$V$123/(1-$T$123)</f>
        <v>3.4945898778359514</v>
      </c>
      <c r="Z123" s="16">
        <f t="shared" si="132"/>
        <v>3.4890052356020944</v>
      </c>
      <c r="AA123" s="16">
        <f t="shared" si="132"/>
        <v>3.4968237347294941</v>
      </c>
      <c r="AB123" s="16">
        <f t="shared" si="132"/>
        <v>3.6487260034904012</v>
      </c>
      <c r="AC123" s="16">
        <f t="shared" si="132"/>
        <v>3.9078534031413614</v>
      </c>
      <c r="AD123" s="16">
        <f t="shared" si="132"/>
        <v>4.0530541012216403</v>
      </c>
      <c r="AE123" s="16">
        <f t="shared" si="132"/>
        <v>4.0597556719022698</v>
      </c>
      <c r="AF123" s="16">
        <f t="shared" si="132"/>
        <v>4.0128446771378705</v>
      </c>
      <c r="AG123" s="16">
        <f t="shared" si="132"/>
        <v>3.9704013961605589</v>
      </c>
      <c r="AH123" s="16">
        <f t="shared" si="132"/>
        <v>3.9905061082024433</v>
      </c>
      <c r="AI123" s="16">
        <f t="shared" si="132"/>
        <v>4.0295986038394416</v>
      </c>
      <c r="AJ123" s="16">
        <f t="shared" si="132"/>
        <v>3.8051312357307938</v>
      </c>
      <c r="AK123" s="144">
        <v>2.5000000000000001E-2</v>
      </c>
      <c r="AM123" s="147">
        <v>1.04</v>
      </c>
      <c r="AN123" s="10" t="s">
        <v>99</v>
      </c>
      <c r="AO123" s="16">
        <f t="shared" ref="AO123:BA123" si="133">AO122*$V$123/(1-$T$123)</f>
        <v>4.0787434554973823</v>
      </c>
      <c r="AP123" s="16">
        <f t="shared" si="133"/>
        <v>4.1044328097731242</v>
      </c>
      <c r="AQ123" s="16">
        <f t="shared" si="133"/>
        <v>4.1100174520069812</v>
      </c>
      <c r="AR123" s="16">
        <f t="shared" si="133"/>
        <v>4.1479930191972079</v>
      </c>
      <c r="AS123" s="16">
        <f t="shared" si="133"/>
        <v>4.2753228621291459</v>
      </c>
      <c r="AT123" s="16">
        <f t="shared" si="133"/>
        <v>4.505410122164049</v>
      </c>
      <c r="AU123" s="16">
        <f t="shared" si="133"/>
        <v>4.630506108202443</v>
      </c>
      <c r="AV123" s="16">
        <f t="shared" si="133"/>
        <v>4.6070506108202443</v>
      </c>
      <c r="AW123" s="16">
        <f t="shared" si="133"/>
        <v>4.5277486910994762</v>
      </c>
      <c r="AX123" s="16">
        <f t="shared" si="133"/>
        <v>4.3579755671902278</v>
      </c>
      <c r="AY123" s="16">
        <f t="shared" si="133"/>
        <v>4.3769633507853403</v>
      </c>
      <c r="AZ123" s="16">
        <f t="shared" si="133"/>
        <v>4.4048865619546245</v>
      </c>
      <c r="BA123" s="16">
        <f t="shared" si="133"/>
        <v>4.3666723323882541</v>
      </c>
    </row>
    <row r="126" spans="3:53">
      <c r="F126" s="10" t="s">
        <v>337</v>
      </c>
      <c r="G126" s="22">
        <f>MCFS!D28-MCFS!D26</f>
        <v>-46287.833333333256</v>
      </c>
      <c r="H126" s="22">
        <f>MCFS!E28-MCFS!E26</f>
        <v>-8460.9666666667908</v>
      </c>
      <c r="I126" s="22">
        <f>MCFS!F28-MCFS!F26</f>
        <v>-18833.058245614171</v>
      </c>
      <c r="J126" s="22">
        <f>MCFS!G28-MCFS!G26</f>
        <v>-67688.669824561453</v>
      </c>
      <c r="K126" s="22">
        <f>MCFS!H28-MCFS!H26</f>
        <v>-178769.05684210546</v>
      </c>
      <c r="L126" s="22">
        <f>MCFS!I28-MCFS!I26</f>
        <v>-384148.7894736845</v>
      </c>
      <c r="M126" s="22">
        <f>MCFS!J28-MCFS!J26</f>
        <v>-171246.42666666675</v>
      </c>
      <c r="N126" s="22">
        <f>MCFS!K28-MCFS!K26</f>
        <v>-143545.99508771952</v>
      </c>
      <c r="W126" s="10" t="s">
        <v>337</v>
      </c>
      <c r="AN126" s="10" t="s">
        <v>337</v>
      </c>
    </row>
    <row r="127" spans="3:53">
      <c r="F127" s="10" t="s">
        <v>338</v>
      </c>
      <c r="G127" s="22">
        <f>G126/(1-0.055)</f>
        <v>-48981.834215167466</v>
      </c>
      <c r="H127" s="22">
        <f t="shared" ref="H127:L127" si="134">H126/(1-0.055)</f>
        <v>-8953.4038800706785</v>
      </c>
      <c r="I127" s="22">
        <f t="shared" si="134"/>
        <v>-19929.162164671081</v>
      </c>
      <c r="J127" s="22">
        <f t="shared" si="134"/>
        <v>-71628.222036572974</v>
      </c>
      <c r="K127" s="22">
        <f t="shared" si="134"/>
        <v>-189173.60512392112</v>
      </c>
      <c r="L127" s="22">
        <f t="shared" si="134"/>
        <v>-406506.65552770847</v>
      </c>
      <c r="M127" s="22">
        <f t="shared" ref="M127" si="135">M126/(1-0.055)</f>
        <v>-181213.14991181667</v>
      </c>
      <c r="N127" s="22">
        <f t="shared" ref="N127" si="136">N126/(1-0.055)</f>
        <v>-151900.52390234871</v>
      </c>
      <c r="W127" s="10" t="s">
        <v>338</v>
      </c>
      <c r="AN127" s="10" t="s">
        <v>338</v>
      </c>
    </row>
    <row r="128" spans="3:53">
      <c r="F128" s="10" t="s">
        <v>110</v>
      </c>
      <c r="G128" s="16">
        <f>G117</f>
        <v>4.2911932614863444</v>
      </c>
      <c r="H128" s="16">
        <f t="shared" ref="H128:L128" si="137">H117</f>
        <v>4.2486850657612028</v>
      </c>
      <c r="I128" s="16">
        <f t="shared" si="137"/>
        <v>3.8483803737312967</v>
      </c>
      <c r="J128" s="16">
        <f t="shared" si="137"/>
        <v>3.7961076836130903</v>
      </c>
      <c r="K128" s="16">
        <f t="shared" si="137"/>
        <v>3.5658413479590974</v>
      </c>
      <c r="L128" s="16">
        <f t="shared" si="137"/>
        <v>3.4336290967466763</v>
      </c>
      <c r="M128" s="16">
        <f t="shared" ref="M128:N128" si="138">M117</f>
        <v>3.2432037496774391</v>
      </c>
      <c r="N128" s="16">
        <f t="shared" si="138"/>
        <v>2.970861113437929</v>
      </c>
      <c r="W128" s="10" t="s">
        <v>110</v>
      </c>
      <c r="AN128" s="10" t="s">
        <v>110</v>
      </c>
    </row>
    <row r="129" spans="6:53">
      <c r="F129" s="10" t="s">
        <v>339</v>
      </c>
      <c r="G129" s="30">
        <f>G127*G128</f>
        <v>-210190.51691936789</v>
      </c>
      <c r="H129" s="30">
        <f t="shared" ref="H129:L129" si="139">H127*H128</f>
        <v>-38040.193352984701</v>
      </c>
      <c r="I129" s="30">
        <f t="shared" si="139"/>
        <v>-76694.99653942851</v>
      </c>
      <c r="J129" s="30">
        <f t="shared" si="139"/>
        <v>-271908.44403657911</v>
      </c>
      <c r="K129" s="30">
        <f t="shared" si="139"/>
        <v>-674563.06309336494</v>
      </c>
      <c r="L129" s="30">
        <f t="shared" si="139"/>
        <v>-1395793.080441118</v>
      </c>
      <c r="M129" s="30">
        <f t="shared" ref="M129" si="140">M127*M128</f>
        <v>-587711.16728486365</v>
      </c>
      <c r="N129" s="30">
        <f t="shared" ref="N129" si="141">N127*N128</f>
        <v>-451275.35957233643</v>
      </c>
      <c r="W129" s="10" t="s">
        <v>339</v>
      </c>
      <c r="AN129" s="10" t="s">
        <v>339</v>
      </c>
    </row>
    <row r="130" spans="6:53">
      <c r="F130" s="10" t="s">
        <v>340</v>
      </c>
      <c r="G130" s="30">
        <f>+'YR REPORTS'!D23</f>
        <v>6497160.3554649837</v>
      </c>
      <c r="H130" s="30">
        <f>+'YR REPORTS'!E23</f>
        <v>6076708.9391346322</v>
      </c>
      <c r="I130" s="30">
        <f>+'YR REPORTS'!F23</f>
        <v>5537386.0741651934</v>
      </c>
      <c r="J130" s="30">
        <f>+'YR REPORTS'!G23</f>
        <v>6792850.5700359233</v>
      </c>
      <c r="K130" s="30">
        <f>+'YR REPORTS'!H23</f>
        <v>7279995.5845074002</v>
      </c>
      <c r="L130" s="30">
        <f>+'YR REPORTS'!I23</f>
        <v>7730478.4940826045</v>
      </c>
      <c r="M130" s="30">
        <f>+'YR REPORTS'!J23</f>
        <v>7197250.1061100531</v>
      </c>
      <c r="N130" s="30">
        <f>+'YR REPORTS'!K23</f>
        <v>6350212.3956841193</v>
      </c>
      <c r="W130" s="10" t="s">
        <v>340</v>
      </c>
      <c r="AN130" s="10" t="s">
        <v>340</v>
      </c>
    </row>
    <row r="131" spans="6:53">
      <c r="F131" s="10" t="s">
        <v>341</v>
      </c>
      <c r="G131" s="30">
        <f>SUM(G129:G130)</f>
        <v>6286969.8385456158</v>
      </c>
      <c r="H131" s="30">
        <f t="shared" ref="H131:L131" si="142">SUM(H129:H130)</f>
        <v>6038668.745781648</v>
      </c>
      <c r="I131" s="30">
        <f t="shared" si="142"/>
        <v>5460691.0776257645</v>
      </c>
      <c r="J131" s="30">
        <f t="shared" si="142"/>
        <v>6520942.1259993445</v>
      </c>
      <c r="K131" s="30">
        <f t="shared" si="142"/>
        <v>6605432.521414035</v>
      </c>
      <c r="L131" s="30">
        <f t="shared" si="142"/>
        <v>6334685.4136414863</v>
      </c>
      <c r="M131" s="30">
        <f t="shared" ref="M131" si="143">SUM(M129:M130)</f>
        <v>6609538.9388251891</v>
      </c>
      <c r="N131" s="30">
        <f t="shared" ref="N131" si="144">SUM(N129:N130)</f>
        <v>5898937.0361117832</v>
      </c>
      <c r="W131" s="10" t="s">
        <v>341</v>
      </c>
      <c r="AN131" s="10" t="s">
        <v>341</v>
      </c>
    </row>
    <row r="133" spans="6:53">
      <c r="F133" s="10" t="s">
        <v>436</v>
      </c>
      <c r="G133" s="22">
        <f>(13502+9932)*G1/0.95</f>
        <v>764688.42105263157</v>
      </c>
      <c r="H133" s="22">
        <f t="shared" ref="H133:R133" si="145">(13502+9932)*H1/0.95</f>
        <v>764688.42105263157</v>
      </c>
      <c r="I133" s="22">
        <f t="shared" si="145"/>
        <v>740021.05263157899</v>
      </c>
      <c r="J133" s="22">
        <f t="shared" si="145"/>
        <v>764688.42105263157</v>
      </c>
      <c r="K133" s="22">
        <f t="shared" si="145"/>
        <v>740021.05263157899</v>
      </c>
      <c r="L133" s="22">
        <f t="shared" si="145"/>
        <v>764688.42105263157</v>
      </c>
      <c r="M133" s="22">
        <f t="shared" si="145"/>
        <v>764688.42105263157</v>
      </c>
      <c r="N133" s="22">
        <f t="shared" si="145"/>
        <v>715353.68421052629</v>
      </c>
      <c r="O133" s="22">
        <f t="shared" si="145"/>
        <v>764688.42105263157</v>
      </c>
      <c r="P133" s="22">
        <f t="shared" si="145"/>
        <v>740021.05263157899</v>
      </c>
      <c r="Q133" s="22">
        <f t="shared" si="145"/>
        <v>764688.42105263157</v>
      </c>
      <c r="R133" s="22">
        <f t="shared" si="145"/>
        <v>740021.05263157899</v>
      </c>
      <c r="S133" s="28">
        <f>SUM(G133:R133)</f>
        <v>9028256.8421052657</v>
      </c>
      <c r="T133" s="103">
        <f>S133/S7</f>
        <v>0.55556857392270775</v>
      </c>
      <c r="W133" s="10" t="s">
        <v>436</v>
      </c>
      <c r="X133" s="22">
        <f>(13502+9932)*X1/0.95</f>
        <v>764688.42105263157</v>
      </c>
      <c r="Y133" s="22">
        <f t="shared" ref="Y133:AI133" si="146">(13502+9932)*Y1/0.95</f>
        <v>764688.42105263157</v>
      </c>
      <c r="Z133" s="22">
        <f t="shared" si="146"/>
        <v>740021.05263157899</v>
      </c>
      <c r="AA133" s="22">
        <f t="shared" si="146"/>
        <v>764688.42105263157</v>
      </c>
      <c r="AB133" s="22">
        <f t="shared" si="146"/>
        <v>740021.05263157899</v>
      </c>
      <c r="AC133" s="22">
        <f t="shared" si="146"/>
        <v>764688.42105263157</v>
      </c>
      <c r="AD133" s="22">
        <f t="shared" si="146"/>
        <v>764688.42105263157</v>
      </c>
      <c r="AE133" s="22">
        <f t="shared" si="146"/>
        <v>690686.31578947371</v>
      </c>
      <c r="AF133" s="22">
        <f t="shared" si="146"/>
        <v>764688.42105263157</v>
      </c>
      <c r="AG133" s="22">
        <f t="shared" si="146"/>
        <v>740021.05263157899</v>
      </c>
      <c r="AH133" s="22">
        <f t="shared" si="146"/>
        <v>764688.42105263157</v>
      </c>
      <c r="AI133" s="22">
        <f t="shared" si="146"/>
        <v>740021.05263157899</v>
      </c>
      <c r="AJ133" s="22">
        <f>SUM(X133:AI133)</f>
        <v>9003589.4736842122</v>
      </c>
      <c r="AN133" s="10" t="s">
        <v>436</v>
      </c>
      <c r="AO133" s="22">
        <f>(13502+9932)*AO1/0.95</f>
        <v>764688.42105263157</v>
      </c>
      <c r="AP133" s="22">
        <f t="shared" ref="AP133:AZ133" si="147">(13502+9932)*AP1/0.95</f>
        <v>764688.42105263157</v>
      </c>
      <c r="AQ133" s="22">
        <f t="shared" si="147"/>
        <v>740021.05263157899</v>
      </c>
      <c r="AR133" s="22">
        <f t="shared" si="147"/>
        <v>764688.42105263157</v>
      </c>
      <c r="AS133" s="22">
        <f t="shared" si="147"/>
        <v>740021.05263157899</v>
      </c>
      <c r="AT133" s="22">
        <f t="shared" si="147"/>
        <v>764688.42105263157</v>
      </c>
      <c r="AU133" s="22">
        <f t="shared" si="147"/>
        <v>764688.42105263157</v>
      </c>
      <c r="AV133" s="22">
        <f t="shared" si="147"/>
        <v>690686.31578947371</v>
      </c>
      <c r="AW133" s="22">
        <f t="shared" si="147"/>
        <v>764688.42105263157</v>
      </c>
      <c r="AX133" s="22">
        <f t="shared" si="147"/>
        <v>740021.05263157899</v>
      </c>
      <c r="AY133" s="22">
        <f t="shared" si="147"/>
        <v>764688.42105263157</v>
      </c>
      <c r="AZ133" s="22">
        <f t="shared" si="147"/>
        <v>740021.05263157899</v>
      </c>
      <c r="BA133" s="22">
        <f>SUM(AO133:AZ133)</f>
        <v>9003589.4736842122</v>
      </c>
    </row>
    <row r="134" spans="6:53">
      <c r="F134" s="10" t="s">
        <v>435</v>
      </c>
      <c r="G134" s="32">
        <f t="shared" ref="G134:R134" si="148">G133*G109</f>
        <v>3331747.4505263157</v>
      </c>
      <c r="H134" s="32">
        <f t="shared" si="148"/>
        <v>3303453.9789473685</v>
      </c>
      <c r="I134" s="32">
        <f t="shared" si="148"/>
        <v>2854261.2</v>
      </c>
      <c r="J134" s="32">
        <f t="shared" si="148"/>
        <v>2874463.7747368421</v>
      </c>
      <c r="K134" s="32">
        <f t="shared" si="148"/>
        <v>2607834.1894736844</v>
      </c>
      <c r="L134" s="32">
        <f t="shared" si="148"/>
        <v>2572411.8484210526</v>
      </c>
      <c r="M134" s="32">
        <f t="shared" si="148"/>
        <v>2358299.0905263158</v>
      </c>
      <c r="N134" s="32">
        <f t="shared" si="148"/>
        <v>1915717.1663157893</v>
      </c>
      <c r="O134" s="32">
        <f t="shared" si="148"/>
        <v>1870427.8778947371</v>
      </c>
      <c r="P134" s="32">
        <f t="shared" si="148"/>
        <v>1621386.1263157895</v>
      </c>
      <c r="Q134" s="32">
        <f t="shared" si="148"/>
        <v>1556905.625263158</v>
      </c>
      <c r="R134" s="32">
        <f t="shared" si="148"/>
        <v>1797511.1368421053</v>
      </c>
      <c r="S134" s="39">
        <f>SUM(G134:R134)</f>
        <v>28664419.465263162</v>
      </c>
      <c r="W134" s="10" t="s">
        <v>435</v>
      </c>
      <c r="X134" s="32">
        <f t="shared" ref="X134:AI134" si="149">X133*X109</f>
        <v>2121245.6800000002</v>
      </c>
      <c r="Y134" s="32">
        <f t="shared" si="149"/>
        <v>2356005.0252631577</v>
      </c>
      <c r="Z134" s="32">
        <f t="shared" si="149"/>
        <v>2276304.7578947372</v>
      </c>
      <c r="AA134" s="32">
        <f t="shared" si="149"/>
        <v>2357534.4021052634</v>
      </c>
      <c r="AB134" s="32">
        <f t="shared" si="149"/>
        <v>2382127.7684210525</v>
      </c>
      <c r="AC134" s="32">
        <f t="shared" si="149"/>
        <v>2638939.7410526318</v>
      </c>
      <c r="AD134" s="32">
        <f t="shared" si="149"/>
        <v>2738349.2357894736</v>
      </c>
      <c r="AE134" s="32">
        <f t="shared" si="149"/>
        <v>2477491.8147368422</v>
      </c>
      <c r="AF134" s="32">
        <f t="shared" si="149"/>
        <v>2710820.4526315788</v>
      </c>
      <c r="AG134" s="32">
        <f t="shared" si="149"/>
        <v>2595253.8315789476</v>
      </c>
      <c r="AH134" s="32">
        <f t="shared" si="149"/>
        <v>2695526.6842105263</v>
      </c>
      <c r="AI134" s="32">
        <f t="shared" si="149"/>
        <v>2634474.9473684211</v>
      </c>
      <c r="AJ134" s="32">
        <f>SUM(X134:AI134)</f>
        <v>29984074.341052633</v>
      </c>
      <c r="AN134" s="10" t="s">
        <v>435</v>
      </c>
      <c r="AO134" s="32">
        <f t="shared" ref="AO134:AZ134" si="150">AO133*AO109</f>
        <v>2755937.0694736843</v>
      </c>
      <c r="AP134" s="32">
        <f t="shared" si="150"/>
        <v>2773524.9031578945</v>
      </c>
      <c r="AQ134" s="32">
        <f t="shared" si="150"/>
        <v>2687756.463157895</v>
      </c>
      <c r="AR134" s="32">
        <f t="shared" si="150"/>
        <v>2803347.7515789471</v>
      </c>
      <c r="AS134" s="32">
        <f t="shared" si="150"/>
        <v>2797279.5789473685</v>
      </c>
      <c r="AT134" s="32">
        <f t="shared" si="150"/>
        <v>3048048.0463157897</v>
      </c>
      <c r="AU134" s="32">
        <f t="shared" si="150"/>
        <v>3133693.1494736839</v>
      </c>
      <c r="AV134" s="32">
        <f t="shared" si="150"/>
        <v>2815928.1094736843</v>
      </c>
      <c r="AW134" s="32">
        <f t="shared" si="150"/>
        <v>3063341.8147368422</v>
      </c>
      <c r="AX134" s="32">
        <f t="shared" si="150"/>
        <v>2852041.1368421055</v>
      </c>
      <c r="AY134" s="32">
        <f t="shared" si="150"/>
        <v>2960108.8778947368</v>
      </c>
      <c r="AZ134" s="32">
        <f t="shared" si="150"/>
        <v>2883122.0210526315</v>
      </c>
      <c r="BA134" s="32">
        <f>SUM(AO134:AZ134)</f>
        <v>34574128.922105268</v>
      </c>
    </row>
    <row r="135" spans="6:53">
      <c r="AJ135" s="32"/>
    </row>
    <row r="136" spans="6:53">
      <c r="N136" s="110"/>
      <c r="R136" s="112"/>
      <c r="AJ136" s="32"/>
    </row>
    <row r="137" spans="6:53">
      <c r="X137" s="495"/>
      <c r="Y137" s="37"/>
    </row>
    <row r="138" spans="6:53">
      <c r="K138" s="16"/>
      <c r="X138" s="495"/>
      <c r="Y138" s="37"/>
      <c r="AO138" s="495"/>
      <c r="AP138" s="37"/>
    </row>
    <row r="139" spans="6:53">
      <c r="J139" s="10"/>
      <c r="K139" s="32"/>
      <c r="X139" s="495"/>
      <c r="Y139" s="37"/>
      <c r="AO139" s="495"/>
      <c r="AP139" s="37"/>
    </row>
    <row r="140" spans="6:53">
      <c r="J140" s="309"/>
      <c r="K140" s="32"/>
      <c r="X140" s="495"/>
      <c r="Y140" s="495"/>
      <c r="AO140" s="495"/>
      <c r="AP140" s="495"/>
    </row>
    <row r="141" spans="6:53">
      <c r="J141" s="309"/>
      <c r="K141" s="32"/>
      <c r="X141" s="495"/>
      <c r="Y141" s="495"/>
      <c r="AO141" s="495"/>
      <c r="AP141" s="495"/>
    </row>
    <row r="142" spans="6:53">
      <c r="J142" s="309"/>
      <c r="X142" s="495"/>
      <c r="Y142" s="495"/>
      <c r="AO142" s="495"/>
      <c r="AP142" s="495"/>
    </row>
    <row r="143" spans="6:53">
      <c r="J143" s="309"/>
      <c r="X143" s="495"/>
      <c r="Y143" s="495"/>
      <c r="AO143" s="495"/>
      <c r="AP143" s="495"/>
    </row>
    <row r="144" spans="6:53">
      <c r="J144" s="309"/>
      <c r="X144" s="495"/>
      <c r="Y144" s="495"/>
      <c r="AO144" s="495"/>
      <c r="AP144" s="495"/>
    </row>
    <row r="145" spans="10:42">
      <c r="J145" s="309"/>
      <c r="X145" s="495"/>
      <c r="Y145" s="37"/>
      <c r="AO145" s="495"/>
      <c r="AP145" s="37"/>
    </row>
    <row r="146" spans="10:42">
      <c r="J146" s="309"/>
      <c r="X146" s="495"/>
      <c r="Y146" s="37"/>
      <c r="AO146" s="495"/>
      <c r="AP146" s="37"/>
    </row>
    <row r="147" spans="10:42">
      <c r="J147" s="292"/>
      <c r="X147" s="495"/>
      <c r="Y147" s="37"/>
      <c r="AO147" s="495"/>
      <c r="AP147" s="37"/>
    </row>
    <row r="148" spans="10:42">
      <c r="J148" s="292"/>
      <c r="X148" s="495"/>
      <c r="Y148" s="37"/>
      <c r="AO148" s="495"/>
      <c r="AP148" s="37"/>
    </row>
    <row r="149" spans="10:42">
      <c r="J149" s="292"/>
      <c r="Y149" s="1">
        <f>RTD("esrtd",,"NG 11!","PrevPrice")</f>
        <v>3.4079999999999999</v>
      </c>
      <c r="AO149" s="495"/>
      <c r="AP149" s="37"/>
    </row>
    <row r="150" spans="10:42">
      <c r="J150" s="292"/>
    </row>
    <row r="151" spans="10:42">
      <c r="J151" s="292"/>
    </row>
    <row r="152" spans="10:42">
      <c r="J152" s="292"/>
    </row>
    <row r="153" spans="10:42">
      <c r="J153" s="292"/>
    </row>
    <row r="154" spans="10:42">
      <c r="J154" s="292"/>
    </row>
    <row r="155" spans="10:42">
      <c r="J155" s="292"/>
    </row>
    <row r="156" spans="10:42">
      <c r="J156" s="292"/>
    </row>
    <row r="157" spans="10:42">
      <c r="J157" s="292"/>
    </row>
    <row r="158" spans="10:42">
      <c r="J158" s="292"/>
    </row>
    <row r="159" spans="10:42">
      <c r="J159" s="292"/>
    </row>
    <row r="160" spans="10:42">
      <c r="J160" s="292"/>
    </row>
    <row r="161" spans="10:10">
      <c r="J161" s="292"/>
    </row>
    <row r="162" spans="10:10">
      <c r="J162" s="292"/>
    </row>
    <row r="163" spans="10:10">
      <c r="J163" s="292"/>
    </row>
    <row r="164" spans="10:10">
      <c r="J164" s="292"/>
    </row>
    <row r="165" spans="10:10">
      <c r="J165" s="292"/>
    </row>
    <row r="166" spans="10:10">
      <c r="J166" s="292"/>
    </row>
    <row r="167" spans="10:10">
      <c r="J167" s="292"/>
    </row>
    <row r="168" spans="10:10">
      <c r="J168" s="292"/>
    </row>
    <row r="169" spans="10:10">
      <c r="J169" s="292"/>
    </row>
    <row r="170" spans="10:10">
      <c r="J170" s="292"/>
    </row>
    <row r="171" spans="10:10">
      <c r="J171" s="292"/>
    </row>
    <row r="172" spans="10:10">
      <c r="J172" s="292"/>
    </row>
    <row r="173" spans="10:10">
      <c r="J173" s="292"/>
    </row>
    <row r="174" spans="10:10">
      <c r="J174" s="292"/>
    </row>
    <row r="175" spans="10:10">
      <c r="J175" s="292"/>
    </row>
    <row r="176" spans="10:10">
      <c r="J176" s="292"/>
    </row>
    <row r="177" spans="10:10">
      <c r="J177" s="292"/>
    </row>
    <row r="178" spans="10:10">
      <c r="J178" s="292"/>
    </row>
    <row r="179" spans="10:10">
      <c r="J179" s="292"/>
    </row>
    <row r="180" spans="10:10">
      <c r="J180" s="292"/>
    </row>
    <row r="181" spans="10:10">
      <c r="J181" s="292"/>
    </row>
    <row r="182" spans="10:10">
      <c r="J182" s="292"/>
    </row>
    <row r="183" spans="10:10">
      <c r="J183" s="292"/>
    </row>
    <row r="184" spans="10:10">
      <c r="J184" s="292"/>
    </row>
  </sheetData>
  <phoneticPr fontId="0" type="noConversion"/>
  <pageMargins left="0.75" right="0.75" top="1" bottom="1" header="0.5" footer="0.5"/>
  <pageSetup orientation="portrait" horizontalDpi="1200" verticalDpi="1200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I115"/>
  <sheetViews>
    <sheetView topLeftCell="A46" workbookViewId="0">
      <selection activeCell="G59" sqref="G59"/>
    </sheetView>
  </sheetViews>
  <sheetFormatPr defaultRowHeight="15.75"/>
  <cols>
    <col min="1" max="1" width="9.88671875" bestFit="1" customWidth="1"/>
    <col min="2" max="2" width="8.33203125" style="447" bestFit="1" customWidth="1"/>
    <col min="3" max="4" width="15.21875" bestFit="1" customWidth="1"/>
    <col min="7" max="8" width="11.5546875" bestFit="1" customWidth="1"/>
    <col min="9" max="9" width="16.6640625" bestFit="1" customWidth="1"/>
  </cols>
  <sheetData>
    <row r="1" spans="1:9" ht="20.25">
      <c r="A1" s="10"/>
      <c r="B1" s="16" t="s">
        <v>738</v>
      </c>
      <c r="C1" s="10" t="s">
        <v>978</v>
      </c>
      <c r="D1" s="10"/>
      <c r="E1" s="358"/>
      <c r="F1" s="10"/>
      <c r="G1" s="364">
        <v>41100</v>
      </c>
      <c r="H1" s="364"/>
      <c r="I1" s="1"/>
    </row>
    <row r="2" spans="1:9" ht="20.25">
      <c r="A2" s="10"/>
      <c r="B2" s="16" t="s">
        <v>869</v>
      </c>
      <c r="C2" s="10" t="s">
        <v>868</v>
      </c>
      <c r="D2" s="10" t="s">
        <v>869</v>
      </c>
      <c r="E2" s="358"/>
      <c r="F2" s="10"/>
      <c r="G2" s="10" t="s">
        <v>462</v>
      </c>
      <c r="H2" s="24" t="s">
        <v>867</v>
      </c>
      <c r="I2" s="1" t="s">
        <v>739</v>
      </c>
    </row>
    <row r="3" spans="1:9" ht="20.25">
      <c r="A3" s="442" t="s">
        <v>941</v>
      </c>
      <c r="B3" s="16">
        <f>AVERAGE(D3:D14)</f>
        <v>8.8610499999999988</v>
      </c>
      <c r="C3" s="410">
        <v>8.2247868999999998</v>
      </c>
      <c r="D3" s="16">
        <f t="shared" ref="D3:D32" si="0">C3/1.03</f>
        <v>7.9852299999999996</v>
      </c>
      <c r="E3" s="358">
        <v>39448</v>
      </c>
      <c r="F3" s="10" t="s">
        <v>722</v>
      </c>
      <c r="G3" s="310">
        <v>7.1719999999999997</v>
      </c>
      <c r="H3" s="16">
        <f>AVERAGE(G3:G14)</f>
        <v>9.0347500000000007</v>
      </c>
      <c r="I3" s="29">
        <f t="shared" ref="I3:I32" si="1">D3-G3</f>
        <v>0.8132299999999999</v>
      </c>
    </row>
    <row r="4" spans="1:9" ht="20.25">
      <c r="A4" s="10"/>
      <c r="B4" s="16"/>
      <c r="C4" s="410">
        <v>8.800320000000001</v>
      </c>
      <c r="D4" s="16">
        <f t="shared" si="0"/>
        <v>8.5440000000000005</v>
      </c>
      <c r="E4" s="358">
        <v>39479</v>
      </c>
      <c r="F4" s="10" t="s">
        <v>723</v>
      </c>
      <c r="G4" s="310">
        <v>7.9960000000000004</v>
      </c>
      <c r="H4" s="10"/>
      <c r="I4" s="29">
        <f t="shared" si="1"/>
        <v>0.54800000000000004</v>
      </c>
    </row>
    <row r="5" spans="1:9" ht="20.25">
      <c r="A5" s="10"/>
      <c r="B5" s="16"/>
      <c r="C5" s="410">
        <v>9.6953899999999997</v>
      </c>
      <c r="D5" s="16">
        <f t="shared" si="0"/>
        <v>9.4130000000000003</v>
      </c>
      <c r="E5" s="358">
        <v>39508</v>
      </c>
      <c r="F5" s="10" t="s">
        <v>724</v>
      </c>
      <c r="G5" s="310">
        <v>8.93</v>
      </c>
      <c r="H5" s="10"/>
      <c r="I5" s="29">
        <f t="shared" si="1"/>
        <v>0.48300000000000054</v>
      </c>
    </row>
    <row r="6" spans="1:9" ht="20.25">
      <c r="A6" s="10" t="s">
        <v>473</v>
      </c>
      <c r="B6" s="16">
        <f>AVERAGE(D6:D12)</f>
        <v>9.6987485714285722</v>
      </c>
      <c r="C6" s="410">
        <v>10.486800799999999</v>
      </c>
      <c r="D6" s="16">
        <f t="shared" si="0"/>
        <v>10.18136</v>
      </c>
      <c r="E6" s="358">
        <v>39539</v>
      </c>
      <c r="F6" s="10" t="s">
        <v>725</v>
      </c>
      <c r="G6" s="310">
        <v>9.5779999999999994</v>
      </c>
      <c r="H6" s="16">
        <f>AVERAGE(G6:G12)</f>
        <v>10.137428571428572</v>
      </c>
      <c r="I6" s="29">
        <f t="shared" si="1"/>
        <v>0.60336000000000034</v>
      </c>
    </row>
    <row r="7" spans="1:9" ht="20.25">
      <c r="A7" s="10"/>
      <c r="B7" s="16"/>
      <c r="C7" s="410">
        <v>11.6071112</v>
      </c>
      <c r="D7" s="16">
        <f t="shared" si="0"/>
        <v>11.26904</v>
      </c>
      <c r="E7" s="358">
        <v>39569</v>
      </c>
      <c r="F7" s="10" t="s">
        <v>726</v>
      </c>
      <c r="G7" s="310">
        <v>11.28</v>
      </c>
      <c r="H7" s="10"/>
      <c r="I7" s="29">
        <f t="shared" si="1"/>
        <v>-1.0959999999998971E-2</v>
      </c>
    </row>
    <row r="8" spans="1:9" ht="20.25">
      <c r="A8" s="10"/>
      <c r="B8" s="16"/>
      <c r="C8" s="410">
        <v>13.065786900000001</v>
      </c>
      <c r="D8" s="16">
        <f t="shared" si="0"/>
        <v>12.685230000000001</v>
      </c>
      <c r="E8" s="358">
        <v>39600</v>
      </c>
      <c r="F8" s="10" t="s">
        <v>727</v>
      </c>
      <c r="G8" s="81">
        <v>11.916</v>
      </c>
      <c r="H8" s="10"/>
      <c r="I8" s="29">
        <f t="shared" si="1"/>
        <v>0.7692300000000003</v>
      </c>
    </row>
    <row r="9" spans="1:9" ht="20.25">
      <c r="A9" s="10"/>
      <c r="B9" s="16"/>
      <c r="C9" s="410">
        <v>11.4212889</v>
      </c>
      <c r="D9" s="16">
        <f t="shared" si="0"/>
        <v>11.08863</v>
      </c>
      <c r="E9" s="358">
        <v>39630</v>
      </c>
      <c r="F9" s="11" t="s">
        <v>728</v>
      </c>
      <c r="G9" s="292">
        <v>13.105</v>
      </c>
      <c r="H9" s="10"/>
      <c r="I9" s="29">
        <f t="shared" si="1"/>
        <v>-2.0163700000000002</v>
      </c>
    </row>
    <row r="10" spans="1:9" ht="20.25">
      <c r="A10" s="10"/>
      <c r="B10" s="16"/>
      <c r="C10" s="410">
        <v>8.5043597999999996</v>
      </c>
      <c r="D10" s="16">
        <f t="shared" si="0"/>
        <v>8.2566600000000001</v>
      </c>
      <c r="E10" s="358">
        <v>39661</v>
      </c>
      <c r="F10" s="10" t="s">
        <v>729</v>
      </c>
      <c r="G10" s="81">
        <v>9.2170000000000005</v>
      </c>
      <c r="H10" s="10"/>
      <c r="I10" s="29">
        <f t="shared" si="1"/>
        <v>-0.96034000000000042</v>
      </c>
    </row>
    <row r="11" spans="1:9" ht="20.25">
      <c r="A11" s="10"/>
      <c r="B11" s="16"/>
      <c r="C11" s="410">
        <v>7.9040140000000001</v>
      </c>
      <c r="D11" s="16">
        <f t="shared" si="0"/>
        <v>7.6738</v>
      </c>
      <c r="E11" s="358">
        <v>39692</v>
      </c>
      <c r="F11" s="10" t="s">
        <v>730</v>
      </c>
      <c r="G11" s="81">
        <v>8.3940000000000001</v>
      </c>
      <c r="H11" s="10"/>
      <c r="I11" s="29">
        <f t="shared" si="1"/>
        <v>-0.72020000000000017</v>
      </c>
    </row>
    <row r="12" spans="1:9" ht="20.25">
      <c r="A12" s="10"/>
      <c r="B12" s="16"/>
      <c r="C12" s="410">
        <v>6.9386155999999994</v>
      </c>
      <c r="D12" s="16">
        <f t="shared" si="0"/>
        <v>6.7365199999999996</v>
      </c>
      <c r="E12" s="358">
        <v>39722</v>
      </c>
      <c r="F12" s="10" t="s">
        <v>731</v>
      </c>
      <c r="G12" s="81">
        <v>7.4720000000000004</v>
      </c>
      <c r="H12" s="10"/>
      <c r="I12" s="29">
        <f t="shared" si="1"/>
        <v>-0.7354800000000008</v>
      </c>
    </row>
    <row r="13" spans="1:9" ht="20.25">
      <c r="A13" s="10" t="s">
        <v>474</v>
      </c>
      <c r="B13" s="16">
        <f>AVERAGE(D13:D17)</f>
        <v>5.2427800000000007</v>
      </c>
      <c r="C13" s="410">
        <v>6.8841903999999996</v>
      </c>
      <c r="D13" s="16">
        <f t="shared" si="0"/>
        <v>6.6836799999999998</v>
      </c>
      <c r="E13" s="358">
        <v>39753</v>
      </c>
      <c r="F13" s="10" t="s">
        <v>732</v>
      </c>
      <c r="G13" s="81">
        <v>6.4690000000000003</v>
      </c>
      <c r="H13" s="16">
        <f>AVERAGE(G13:G17)</f>
        <v>5.6049999999999995</v>
      </c>
      <c r="I13" s="29">
        <f t="shared" si="1"/>
        <v>0.21467999999999954</v>
      </c>
    </row>
    <row r="14" spans="1:9" ht="20.25">
      <c r="A14" s="10"/>
      <c r="B14" s="16"/>
      <c r="C14" s="410">
        <v>5.9899135000000001</v>
      </c>
      <c r="D14" s="16">
        <f t="shared" si="0"/>
        <v>5.8154500000000002</v>
      </c>
      <c r="E14" s="358">
        <v>39783</v>
      </c>
      <c r="F14" s="10" t="s">
        <v>733</v>
      </c>
      <c r="G14" s="81">
        <v>6.8879999999999999</v>
      </c>
      <c r="H14" s="10"/>
      <c r="I14" s="29">
        <f t="shared" si="1"/>
        <v>-1.0725499999999997</v>
      </c>
    </row>
    <row r="15" spans="1:9" ht="20.25">
      <c r="A15" s="442" t="s">
        <v>942</v>
      </c>
      <c r="B15" s="16">
        <f>AVERAGE(D15:D26)</f>
        <v>3.9452050000000001</v>
      </c>
      <c r="C15" s="410">
        <v>5.3977149999999998</v>
      </c>
      <c r="D15" s="16">
        <f t="shared" si="0"/>
        <v>5.2404999999999999</v>
      </c>
      <c r="E15" s="358">
        <v>39814</v>
      </c>
      <c r="F15" s="10" t="s">
        <v>722</v>
      </c>
      <c r="G15" s="81">
        <v>6.1360000000000001</v>
      </c>
      <c r="H15" s="16">
        <f>AVERAGE(G15:G26)</f>
        <v>3.9861666666666657</v>
      </c>
      <c r="I15" s="29">
        <f t="shared" si="1"/>
        <v>-0.89550000000000018</v>
      </c>
    </row>
    <row r="16" spans="1:9" ht="20.25">
      <c r="A16" s="10"/>
      <c r="B16" s="16"/>
      <c r="C16" s="410">
        <v>4.6501719000000001</v>
      </c>
      <c r="D16" s="16">
        <f t="shared" si="0"/>
        <v>4.5147300000000001</v>
      </c>
      <c r="E16" s="358">
        <v>39845</v>
      </c>
      <c r="F16" s="10" t="s">
        <v>723</v>
      </c>
      <c r="G16" s="81">
        <v>4.476</v>
      </c>
      <c r="H16" s="10"/>
      <c r="I16" s="29">
        <f t="shared" si="1"/>
        <v>3.8730000000000153E-2</v>
      </c>
    </row>
    <row r="17" spans="1:9" ht="20.25">
      <c r="A17" s="10"/>
      <c r="B17" s="16"/>
      <c r="C17" s="410">
        <v>4.0783262000000002</v>
      </c>
      <c r="D17" s="16">
        <f t="shared" si="0"/>
        <v>3.9595400000000001</v>
      </c>
      <c r="E17" s="358">
        <v>39873</v>
      </c>
      <c r="F17" s="10" t="s">
        <v>724</v>
      </c>
      <c r="G17" s="81">
        <v>4.056</v>
      </c>
      <c r="H17" s="10"/>
      <c r="I17" s="29">
        <f t="shared" si="1"/>
        <v>-9.645999999999999E-2</v>
      </c>
    </row>
    <row r="18" spans="1:9" ht="20.25">
      <c r="A18" s="10" t="s">
        <v>473</v>
      </c>
      <c r="B18" s="16">
        <f>AVERAGE(D18:D24)</f>
        <v>3.5182414285714287</v>
      </c>
      <c r="C18" s="410">
        <v>3.5996028</v>
      </c>
      <c r="D18" s="16">
        <f t="shared" si="0"/>
        <v>3.4947599999999999</v>
      </c>
      <c r="E18" s="358">
        <v>39904</v>
      </c>
      <c r="F18" s="10" t="s">
        <v>725</v>
      </c>
      <c r="G18" s="81">
        <v>3.6309999999999998</v>
      </c>
      <c r="H18" s="16">
        <f>AVERAGE(G18:G24)</f>
        <v>3.4844285714285719</v>
      </c>
      <c r="I18" s="29">
        <f t="shared" si="1"/>
        <v>-0.13623999999999992</v>
      </c>
    </row>
    <row r="19" spans="1:9" ht="20.25">
      <c r="A19" s="10"/>
      <c r="B19" s="16"/>
      <c r="C19" s="410">
        <v>3.9474750000000003</v>
      </c>
      <c r="D19" s="16">
        <f t="shared" si="0"/>
        <v>3.8325</v>
      </c>
      <c r="E19" s="358">
        <v>39934</v>
      </c>
      <c r="F19" s="10" t="s">
        <v>726</v>
      </c>
      <c r="G19" s="81">
        <v>3.3210000000000002</v>
      </c>
      <c r="H19" s="10"/>
      <c r="I19" s="29">
        <f t="shared" si="1"/>
        <v>0.51149999999999984</v>
      </c>
    </row>
    <row r="20" spans="1:9" ht="20.25">
      <c r="A20" s="10"/>
      <c r="B20" s="16"/>
      <c r="C20" s="410">
        <v>3.9144635000000001</v>
      </c>
      <c r="D20" s="16">
        <f t="shared" si="0"/>
        <v>3.8004500000000001</v>
      </c>
      <c r="E20" s="358">
        <v>39965</v>
      </c>
      <c r="F20" s="10" t="s">
        <v>727</v>
      </c>
      <c r="G20" s="310">
        <v>3.5379999999999998</v>
      </c>
      <c r="H20" s="10"/>
      <c r="I20" s="29">
        <f t="shared" si="1"/>
        <v>0.26245000000000029</v>
      </c>
    </row>
    <row r="21" spans="1:9" ht="20.25">
      <c r="A21" s="10"/>
      <c r="B21" s="16"/>
      <c r="C21" s="410">
        <v>3.4851389000000004</v>
      </c>
      <c r="D21" s="16">
        <f t="shared" si="0"/>
        <v>3.3836300000000001</v>
      </c>
      <c r="E21" s="358">
        <v>39995</v>
      </c>
      <c r="F21" s="11" t="s">
        <v>728</v>
      </c>
      <c r="G21" s="310">
        <v>3.9489999999999998</v>
      </c>
      <c r="H21" s="10"/>
      <c r="I21" s="29">
        <f t="shared" si="1"/>
        <v>-0.56536999999999971</v>
      </c>
    </row>
    <row r="22" spans="1:9" ht="20.25">
      <c r="A22" s="10"/>
      <c r="B22" s="16"/>
      <c r="C22" s="410">
        <v>3.2342000000000004</v>
      </c>
      <c r="D22" s="16">
        <f t="shared" si="0"/>
        <v>3.14</v>
      </c>
      <c r="E22" s="358">
        <v>40026</v>
      </c>
      <c r="F22" s="10" t="s">
        <v>729</v>
      </c>
      <c r="G22" s="310">
        <v>3.379</v>
      </c>
      <c r="H22" s="10"/>
      <c r="I22" s="29">
        <f t="shared" si="1"/>
        <v>-0.23899999999999988</v>
      </c>
    </row>
    <row r="23" spans="1:9" ht="20.25">
      <c r="A23" s="10"/>
      <c r="B23" s="16"/>
      <c r="C23" s="410">
        <v>3.0627050000000002</v>
      </c>
      <c r="D23" s="16">
        <f t="shared" si="0"/>
        <v>2.9735</v>
      </c>
      <c r="E23" s="358">
        <v>40057</v>
      </c>
      <c r="F23" s="10" t="s">
        <v>730</v>
      </c>
      <c r="G23" s="310">
        <v>2.843</v>
      </c>
      <c r="H23" s="10"/>
      <c r="I23" s="29">
        <f t="shared" si="1"/>
        <v>0.13050000000000006</v>
      </c>
    </row>
    <row r="24" spans="1:9" ht="20.25">
      <c r="A24" s="10"/>
      <c r="B24" s="16"/>
      <c r="C24" s="410">
        <v>4.1229354999999996</v>
      </c>
      <c r="D24" s="16">
        <f t="shared" si="0"/>
        <v>4.0028499999999996</v>
      </c>
      <c r="E24" s="358">
        <v>40087</v>
      </c>
      <c r="F24" s="10" t="s">
        <v>731</v>
      </c>
      <c r="G24" s="310">
        <v>3.73</v>
      </c>
      <c r="H24" s="10"/>
      <c r="I24" s="29">
        <f t="shared" si="1"/>
        <v>0.27284999999999959</v>
      </c>
    </row>
    <row r="25" spans="1:9" ht="20.25">
      <c r="A25" s="10" t="s">
        <v>474</v>
      </c>
      <c r="B25" s="16">
        <f>AVERAGE(D25:D29)</f>
        <v>4.8879999999999999</v>
      </c>
      <c r="C25" s="410">
        <v>3.7698</v>
      </c>
      <c r="D25" s="16">
        <f t="shared" si="0"/>
        <v>3.66</v>
      </c>
      <c r="E25" s="358">
        <v>40118</v>
      </c>
      <c r="F25" s="10" t="s">
        <v>732</v>
      </c>
      <c r="G25" s="310">
        <v>4.2889999999999997</v>
      </c>
      <c r="H25" s="16">
        <f>AVERAGE(G25:G29)</f>
        <v>4.9357999999999995</v>
      </c>
      <c r="I25" s="29">
        <f t="shared" si="1"/>
        <v>-0.62899999999999956</v>
      </c>
    </row>
    <row r="26" spans="1:9" ht="20.25">
      <c r="A26" s="10"/>
      <c r="B26" s="16"/>
      <c r="C26" s="410">
        <v>5.5002000000000004</v>
      </c>
      <c r="D26" s="16">
        <f t="shared" si="0"/>
        <v>5.34</v>
      </c>
      <c r="E26" s="358">
        <v>40148</v>
      </c>
      <c r="F26" s="10" t="s">
        <v>733</v>
      </c>
      <c r="G26" s="310">
        <v>4.4859999999999998</v>
      </c>
      <c r="H26" s="10"/>
      <c r="I26" s="29">
        <f t="shared" si="1"/>
        <v>0.85400000000000009</v>
      </c>
    </row>
    <row r="27" spans="1:9" ht="20.25">
      <c r="A27" s="443" t="s">
        <v>943</v>
      </c>
      <c r="B27" s="17">
        <f>AVERAGE(D27:D38)</f>
        <v>4.3866666666666676</v>
      </c>
      <c r="C27" s="410">
        <v>6.0049000000000001</v>
      </c>
      <c r="D27" s="16">
        <f t="shared" si="0"/>
        <v>5.83</v>
      </c>
      <c r="E27" s="358">
        <v>40179</v>
      </c>
      <c r="F27" s="10" t="s">
        <v>722</v>
      </c>
      <c r="G27" s="310">
        <v>5.8140000000000001</v>
      </c>
      <c r="H27" s="17">
        <f>AVERAGE(G27:G38)</f>
        <v>4.392500000000001</v>
      </c>
      <c r="I27" s="29">
        <f t="shared" si="1"/>
        <v>1.6000000000000014E-2</v>
      </c>
    </row>
    <row r="28" spans="1:9" ht="20.25">
      <c r="A28" s="10"/>
      <c r="B28" s="16"/>
      <c r="C28" s="410">
        <v>5.4796000000000005</v>
      </c>
      <c r="D28" s="16">
        <f t="shared" si="0"/>
        <v>5.32</v>
      </c>
      <c r="E28" s="358">
        <v>40210</v>
      </c>
      <c r="F28" s="10" t="s">
        <v>723</v>
      </c>
      <c r="G28" s="310">
        <v>5.274</v>
      </c>
      <c r="H28" s="10"/>
      <c r="I28" s="29">
        <f t="shared" si="1"/>
        <v>4.6000000000000263E-2</v>
      </c>
    </row>
    <row r="29" spans="1:9" ht="20.25">
      <c r="A29" s="10"/>
      <c r="B29" s="16"/>
      <c r="C29" s="410">
        <v>4.4187000000000003</v>
      </c>
      <c r="D29" s="16">
        <f t="shared" si="0"/>
        <v>4.29</v>
      </c>
      <c r="E29" s="358">
        <v>40238</v>
      </c>
      <c r="F29" s="10" t="s">
        <v>724</v>
      </c>
      <c r="G29" s="310">
        <v>4.8159999999999998</v>
      </c>
      <c r="H29" s="10"/>
      <c r="I29" s="29">
        <f t="shared" si="1"/>
        <v>-0.5259999999999998</v>
      </c>
    </row>
    <row r="30" spans="1:9" ht="20.25">
      <c r="A30" s="24" t="s">
        <v>473</v>
      </c>
      <c r="B30" s="17">
        <f>AVERAGE(D30:D36)</f>
        <v>4.177142857142857</v>
      </c>
      <c r="C30" s="410">
        <v>4.1509</v>
      </c>
      <c r="D30" s="16">
        <f t="shared" si="0"/>
        <v>4.03</v>
      </c>
      <c r="E30" s="358">
        <v>40269</v>
      </c>
      <c r="F30" s="10" t="s">
        <v>725</v>
      </c>
      <c r="G30" s="310">
        <v>3.8420000000000001</v>
      </c>
      <c r="H30" s="17">
        <f>AVERAGE(G30:G36)</f>
        <v>4.1781428571428574</v>
      </c>
      <c r="I30" s="29">
        <f t="shared" si="1"/>
        <v>0.18800000000000017</v>
      </c>
    </row>
    <row r="31" spans="1:9" ht="20.25">
      <c r="A31" s="10"/>
      <c r="B31" s="16"/>
      <c r="C31" s="410">
        <v>4.2641999999999998</v>
      </c>
      <c r="D31" s="16">
        <f t="shared" si="0"/>
        <v>4.1399999999999997</v>
      </c>
      <c r="E31" s="358">
        <v>40299</v>
      </c>
      <c r="F31" s="10" t="s">
        <v>726</v>
      </c>
      <c r="G31" s="310">
        <v>4.2709999999999999</v>
      </c>
      <c r="H31" s="1"/>
      <c r="I31" s="29">
        <f t="shared" si="1"/>
        <v>-0.13100000000000023</v>
      </c>
    </row>
    <row r="32" spans="1:9" ht="20.25">
      <c r="A32" s="10"/>
      <c r="B32" s="16"/>
      <c r="C32" s="410">
        <v>4.944</v>
      </c>
      <c r="D32" s="16">
        <f t="shared" si="0"/>
        <v>4.8</v>
      </c>
      <c r="E32" s="358">
        <v>40330</v>
      </c>
      <c r="F32" s="10" t="s">
        <v>727</v>
      </c>
      <c r="G32" s="310">
        <v>4.1550000000000002</v>
      </c>
      <c r="H32" s="1"/>
      <c r="I32" s="29">
        <f t="shared" si="1"/>
        <v>0.64499999999999957</v>
      </c>
    </row>
    <row r="33" spans="1:9" ht="20.25">
      <c r="A33" s="10"/>
      <c r="B33" s="16"/>
      <c r="C33" s="410">
        <v>4.7689000000000004</v>
      </c>
      <c r="D33" s="16">
        <f t="shared" ref="D33:D74" si="2">C33/1.03</f>
        <v>4.63</v>
      </c>
      <c r="E33" s="358">
        <v>40360</v>
      </c>
      <c r="F33" s="11" t="s">
        <v>728</v>
      </c>
      <c r="G33" s="310">
        <v>4.7169999999999996</v>
      </c>
      <c r="H33" s="1"/>
      <c r="I33" s="29">
        <f t="shared" ref="I33:I74" si="3">D33-G33</f>
        <v>-8.6999999999999744E-2</v>
      </c>
    </row>
    <row r="34" spans="1:9" ht="20.25">
      <c r="A34" s="10"/>
      <c r="B34" s="16"/>
      <c r="C34" s="410">
        <v>4.4496000000000002</v>
      </c>
      <c r="D34" s="16">
        <f t="shared" si="2"/>
        <v>4.32</v>
      </c>
      <c r="E34" s="358">
        <v>40391</v>
      </c>
      <c r="F34" s="10" t="s">
        <v>729</v>
      </c>
      <c r="G34" s="310">
        <v>4.774</v>
      </c>
      <c r="H34" s="1"/>
      <c r="I34" s="29">
        <f t="shared" si="3"/>
        <v>-0.45399999999999974</v>
      </c>
    </row>
    <row r="35" spans="1:9" ht="20.25">
      <c r="A35" s="10"/>
      <c r="B35" s="16"/>
      <c r="C35" s="410">
        <v>4.0067000000000004</v>
      </c>
      <c r="D35" s="16">
        <f t="shared" si="2"/>
        <v>3.89</v>
      </c>
      <c r="E35" s="358">
        <v>40422</v>
      </c>
      <c r="F35" s="10" t="s">
        <v>730</v>
      </c>
      <c r="G35" s="310">
        <v>3.6509999999999998</v>
      </c>
      <c r="H35" s="1"/>
      <c r="I35" s="29">
        <f t="shared" si="3"/>
        <v>0.23900000000000032</v>
      </c>
    </row>
    <row r="36" spans="1:9" ht="20.25">
      <c r="A36" s="10"/>
      <c r="B36" s="16"/>
      <c r="C36" s="410">
        <v>3.5329000000000002</v>
      </c>
      <c r="D36" s="16">
        <f t="shared" si="2"/>
        <v>3.43</v>
      </c>
      <c r="E36" s="358">
        <v>40462</v>
      </c>
      <c r="F36" s="10" t="s">
        <v>731</v>
      </c>
      <c r="G36" s="310">
        <v>3.8370000000000002</v>
      </c>
      <c r="H36" s="1"/>
      <c r="I36" s="29">
        <f t="shared" si="3"/>
        <v>-0.40700000000000003</v>
      </c>
    </row>
    <row r="37" spans="1:9" ht="20.25">
      <c r="A37" s="24" t="s">
        <v>474</v>
      </c>
      <c r="B37" s="17">
        <f>AVERAGE(D37:D41)</f>
        <v>4.1019999999999994</v>
      </c>
      <c r="C37" s="410">
        <v>3.8212999999999999</v>
      </c>
      <c r="D37" s="16">
        <f t="shared" si="2"/>
        <v>3.71</v>
      </c>
      <c r="E37" s="358">
        <v>40483</v>
      </c>
      <c r="F37" s="10" t="s">
        <v>732</v>
      </c>
      <c r="G37" s="310">
        <v>3.2919999999999998</v>
      </c>
      <c r="H37" s="17">
        <f>AVERAGE(G37:G41)</f>
        <v>3.9767999999999999</v>
      </c>
      <c r="I37" s="29">
        <f t="shared" si="3"/>
        <v>0.41800000000000015</v>
      </c>
    </row>
    <row r="38" spans="1:9" ht="20.25">
      <c r="A38" s="10"/>
      <c r="B38" s="16"/>
      <c r="C38" s="410">
        <v>4.3775000000000004</v>
      </c>
      <c r="D38" s="16">
        <f t="shared" si="2"/>
        <v>4.25</v>
      </c>
      <c r="E38" s="358">
        <v>40513</v>
      </c>
      <c r="F38" s="10" t="s">
        <v>733</v>
      </c>
      <c r="G38" s="310">
        <v>4.2670000000000003</v>
      </c>
      <c r="H38" s="1"/>
      <c r="I38" s="29">
        <f t="shared" si="3"/>
        <v>-1.7000000000000348E-2</v>
      </c>
    </row>
    <row r="39" spans="1:9" ht="20.25">
      <c r="A39" s="444" t="s">
        <v>944</v>
      </c>
      <c r="B39" s="203">
        <f>AVERAGE(D39:D50)</f>
        <v>4</v>
      </c>
      <c r="C39" s="410">
        <v>4.6247000000000007</v>
      </c>
      <c r="D39" s="16">
        <f t="shared" si="2"/>
        <v>4.49</v>
      </c>
      <c r="E39" s="358">
        <v>40544</v>
      </c>
      <c r="F39" s="10" t="s">
        <v>722</v>
      </c>
      <c r="G39" s="310">
        <v>4.2160000000000002</v>
      </c>
      <c r="H39" s="388">
        <f>AVERAGE(G39:G50)</f>
        <v>4.0374166666666662</v>
      </c>
      <c r="I39" s="29">
        <f t="shared" si="3"/>
        <v>0.27400000000000002</v>
      </c>
    </row>
    <row r="40" spans="1:9" ht="20.25">
      <c r="A40" s="10"/>
      <c r="B40" s="16">
        <f>B39*1.03</f>
        <v>4.12</v>
      </c>
      <c r="C40" s="410">
        <v>4.2126999999999999</v>
      </c>
      <c r="D40" s="16">
        <f t="shared" si="2"/>
        <v>4.09</v>
      </c>
      <c r="E40" s="358">
        <v>40575</v>
      </c>
      <c r="F40" s="10" t="s">
        <v>723</v>
      </c>
      <c r="G40" s="310">
        <v>4.3159999999999998</v>
      </c>
      <c r="H40" s="1"/>
      <c r="I40" s="29">
        <f t="shared" si="3"/>
        <v>-0.22599999999999998</v>
      </c>
    </row>
    <row r="41" spans="1:9" ht="20.25">
      <c r="A41" s="10"/>
      <c r="B41" s="16"/>
      <c r="C41" s="410">
        <v>4.0891000000000002</v>
      </c>
      <c r="D41" s="16">
        <f t="shared" si="2"/>
        <v>3.97</v>
      </c>
      <c r="E41" s="358">
        <v>40603</v>
      </c>
      <c r="F41" s="10" t="s">
        <v>724</v>
      </c>
      <c r="G41" s="310">
        <v>3.7930000000000001</v>
      </c>
      <c r="H41" s="1"/>
      <c r="I41" s="29">
        <f t="shared" si="3"/>
        <v>0.17700000000000005</v>
      </c>
    </row>
    <row r="42" spans="1:9" ht="20.25">
      <c r="A42" s="277" t="s">
        <v>473</v>
      </c>
      <c r="B42" s="203">
        <f>AVERAGE(D42:D48)</f>
        <v>4.1485714285714286</v>
      </c>
      <c r="C42" s="410">
        <v>4.3775000000000004</v>
      </c>
      <c r="D42" s="16">
        <f t="shared" si="2"/>
        <v>4.25</v>
      </c>
      <c r="E42" s="358">
        <v>40634</v>
      </c>
      <c r="F42" s="10" t="s">
        <v>725</v>
      </c>
      <c r="G42" s="310">
        <v>4.24</v>
      </c>
      <c r="H42" s="203">
        <f>AVERAGE(G42:G48)</f>
        <v>4.176571428571429</v>
      </c>
      <c r="I42" s="29">
        <f t="shared" si="3"/>
        <v>9.9999999999997868E-3</v>
      </c>
    </row>
    <row r="43" spans="1:9" ht="20.25">
      <c r="A43" s="10"/>
      <c r="B43" s="16"/>
      <c r="C43" s="410">
        <v>4.4392999999999994</v>
      </c>
      <c r="D43" s="16">
        <f t="shared" si="2"/>
        <v>4.3099999999999996</v>
      </c>
      <c r="E43" s="358">
        <v>40664</v>
      </c>
      <c r="F43" s="10" t="s">
        <v>726</v>
      </c>
      <c r="G43" s="310">
        <v>4.3769999999999998</v>
      </c>
      <c r="H43" s="1"/>
      <c r="I43" s="29">
        <f t="shared" si="3"/>
        <v>-6.7000000000000171E-2</v>
      </c>
    </row>
    <row r="44" spans="1:9" ht="20.25">
      <c r="A44" s="10"/>
      <c r="B44" s="16"/>
      <c r="C44" s="410">
        <v>4.6864999999999997</v>
      </c>
      <c r="D44" s="16">
        <f t="shared" si="2"/>
        <v>4.55</v>
      </c>
      <c r="E44" s="358">
        <v>40695</v>
      </c>
      <c r="F44" s="10" t="s">
        <v>727</v>
      </c>
      <c r="G44" s="310">
        <v>4.3259999999999996</v>
      </c>
      <c r="H44" s="1"/>
      <c r="I44" s="29">
        <f t="shared" si="3"/>
        <v>0.2240000000000002</v>
      </c>
    </row>
    <row r="45" spans="1:9" ht="20.25">
      <c r="A45" s="10"/>
      <c r="B45" s="16"/>
      <c r="C45" s="410">
        <v>4.5526</v>
      </c>
      <c r="D45" s="16">
        <f t="shared" si="2"/>
        <v>4.42</v>
      </c>
      <c r="E45" s="358">
        <v>40725</v>
      </c>
      <c r="F45" s="10" t="s">
        <v>728</v>
      </c>
      <c r="G45" s="310">
        <v>4.3570000000000002</v>
      </c>
      <c r="H45" s="1"/>
      <c r="I45" s="29">
        <f t="shared" si="3"/>
        <v>6.2999999999999723E-2</v>
      </c>
    </row>
    <row r="46" spans="1:9" ht="20.25">
      <c r="A46" s="10"/>
      <c r="B46" s="16"/>
      <c r="C46" s="410">
        <v>4.1715</v>
      </c>
      <c r="D46" s="16">
        <f t="shared" si="2"/>
        <v>4.05</v>
      </c>
      <c r="E46" s="358">
        <v>40756</v>
      </c>
      <c r="F46" s="10" t="s">
        <v>729</v>
      </c>
      <c r="G46" s="310">
        <v>4.32</v>
      </c>
      <c r="H46" s="1"/>
      <c r="I46" s="29">
        <f t="shared" si="3"/>
        <v>-0.27000000000000046</v>
      </c>
    </row>
    <row r="47" spans="1:9" ht="20.25">
      <c r="A47" s="10"/>
      <c r="B47" s="16"/>
      <c r="C47" s="410">
        <v>4.0170000000000003</v>
      </c>
      <c r="D47" s="16">
        <f t="shared" si="2"/>
        <v>3.9000000000000004</v>
      </c>
      <c r="E47" s="358">
        <v>40787</v>
      </c>
      <c r="F47" s="10" t="s">
        <v>730</v>
      </c>
      <c r="G47" s="310">
        <v>3.8570000000000002</v>
      </c>
      <c r="H47" s="1"/>
      <c r="I47" s="29">
        <f t="shared" si="3"/>
        <v>4.3000000000000149E-2</v>
      </c>
    </row>
    <row r="48" spans="1:9" ht="20.25">
      <c r="A48" s="10"/>
      <c r="B48" s="16"/>
      <c r="C48" s="410">
        <v>3.6668000000000003</v>
      </c>
      <c r="D48" s="16">
        <f t="shared" si="2"/>
        <v>3.56</v>
      </c>
      <c r="E48" s="358">
        <v>40817</v>
      </c>
      <c r="F48" s="10" t="s">
        <v>731</v>
      </c>
      <c r="G48" s="310">
        <v>3.7589999999999999</v>
      </c>
      <c r="H48" s="1"/>
      <c r="I48" s="29">
        <f t="shared" si="3"/>
        <v>-0.19899999999999984</v>
      </c>
    </row>
    <row r="49" spans="1:9" ht="20.25">
      <c r="A49" s="277" t="s">
        <v>474</v>
      </c>
      <c r="B49" s="203">
        <f>AVERAGE(D49:D53)</f>
        <v>2.7519999999999998</v>
      </c>
      <c r="C49" s="410">
        <v>3.3372000000000002</v>
      </c>
      <c r="D49" s="16">
        <f t="shared" si="2"/>
        <v>3.24</v>
      </c>
      <c r="E49" s="358">
        <v>40848</v>
      </c>
      <c r="F49" s="10" t="s">
        <v>732</v>
      </c>
      <c r="G49" s="310">
        <v>3.524</v>
      </c>
      <c r="H49" s="203">
        <f>AVERAGE(G49:G53)</f>
        <v>3.0191999999999997</v>
      </c>
      <c r="I49" s="29">
        <f t="shared" si="3"/>
        <v>-0.28399999999999981</v>
      </c>
    </row>
    <row r="50" spans="1:9" ht="20.25">
      <c r="A50" s="10"/>
      <c r="B50" s="16"/>
      <c r="C50" s="410">
        <v>3.2650999999999999</v>
      </c>
      <c r="D50" s="16">
        <f t="shared" si="2"/>
        <v>3.17</v>
      </c>
      <c r="E50" s="358">
        <v>40878</v>
      </c>
      <c r="F50" s="10" t="s">
        <v>733</v>
      </c>
      <c r="G50" s="310">
        <v>3.3639999999999999</v>
      </c>
      <c r="H50" s="1"/>
      <c r="I50" s="29">
        <f t="shared" si="3"/>
        <v>-0.19399999999999995</v>
      </c>
    </row>
    <row r="51" spans="1:9" ht="20.25">
      <c r="A51" s="445" t="s">
        <v>945</v>
      </c>
      <c r="B51" s="388">
        <f>AVERAGE(D51:D62)</f>
        <v>2.5819706310679611</v>
      </c>
      <c r="C51" s="410">
        <v>2.7501000000000002</v>
      </c>
      <c r="D51" s="16">
        <f t="shared" si="2"/>
        <v>2.67</v>
      </c>
      <c r="E51" s="449">
        <v>40909</v>
      </c>
      <c r="F51" s="450" t="s">
        <v>722</v>
      </c>
      <c r="G51" s="310">
        <v>3.0840000000000001</v>
      </c>
      <c r="H51" s="428">
        <f>AVERAGE(G51:G62)</f>
        <v>2.8380000000000005</v>
      </c>
      <c r="I51" s="29">
        <f t="shared" si="3"/>
        <v>-0.41400000000000015</v>
      </c>
    </row>
    <row r="52" spans="1:9" ht="20.25">
      <c r="A52" s="10"/>
      <c r="B52" s="292">
        <f>B51*1.03</f>
        <v>2.6594297500000001</v>
      </c>
      <c r="C52" s="410">
        <v>2.5750000000000002</v>
      </c>
      <c r="D52" s="16">
        <f t="shared" si="2"/>
        <v>2.5</v>
      </c>
      <c r="E52" s="449">
        <v>40940</v>
      </c>
      <c r="F52" s="450" t="s">
        <v>723</v>
      </c>
      <c r="G52" s="310">
        <v>2.6779999999999999</v>
      </c>
      <c r="H52" s="1"/>
      <c r="I52" s="29">
        <f t="shared" si="3"/>
        <v>-0.17799999999999994</v>
      </c>
    </row>
    <row r="53" spans="1:9" ht="20.25">
      <c r="A53" s="10"/>
      <c r="B53" s="16"/>
      <c r="C53" s="410">
        <v>2.2454000000000001</v>
      </c>
      <c r="D53" s="16">
        <f t="shared" si="2"/>
        <v>2.1800000000000002</v>
      </c>
      <c r="E53" s="449">
        <v>40969</v>
      </c>
      <c r="F53" s="450" t="s">
        <v>724</v>
      </c>
      <c r="G53" s="310">
        <v>2.4460000000000002</v>
      </c>
      <c r="H53" s="1"/>
      <c r="I53" s="29">
        <f t="shared" si="3"/>
        <v>-0.26600000000000001</v>
      </c>
    </row>
    <row r="54" spans="1:9" ht="20.25">
      <c r="A54" s="421" t="s">
        <v>473</v>
      </c>
      <c r="B54" s="422">
        <f>AVERAGE(D54:D60)</f>
        <v>2.503779056865465</v>
      </c>
      <c r="C54" s="410">
        <v>2.0085000000000002</v>
      </c>
      <c r="D54" s="16">
        <f t="shared" si="2"/>
        <v>1.9500000000000002</v>
      </c>
      <c r="E54" s="449">
        <v>41000</v>
      </c>
      <c r="F54" s="450" t="s">
        <v>725</v>
      </c>
      <c r="G54" s="310">
        <v>2.1909999999999998</v>
      </c>
      <c r="H54" s="422">
        <f>AVERAGE(G54:G60)</f>
        <v>2.6965714285714286</v>
      </c>
      <c r="I54" s="29">
        <f t="shared" si="3"/>
        <v>-0.24099999999999966</v>
      </c>
    </row>
    <row r="55" spans="1:9" ht="20.25">
      <c r="A55" s="10"/>
      <c r="B55" s="16"/>
      <c r="C55" s="410">
        <v>2.5029000000000003</v>
      </c>
      <c r="D55" s="16">
        <f t="shared" si="2"/>
        <v>2.4300000000000002</v>
      </c>
      <c r="E55" s="449">
        <v>41030</v>
      </c>
      <c r="F55" s="450" t="s">
        <v>726</v>
      </c>
      <c r="G55" s="310">
        <v>2.036</v>
      </c>
      <c r="H55" s="1"/>
      <c r="I55" s="29">
        <f t="shared" si="3"/>
        <v>0.39400000000000013</v>
      </c>
    </row>
    <row r="56" spans="1:9" ht="20.25">
      <c r="A56" s="10"/>
      <c r="B56" s="16"/>
      <c r="C56" s="410">
        <v>2.5441000000000003</v>
      </c>
      <c r="D56" s="16">
        <f t="shared" si="2"/>
        <v>2.4700000000000002</v>
      </c>
      <c r="E56" s="449">
        <v>41061</v>
      </c>
      <c r="F56" s="450" t="s">
        <v>727</v>
      </c>
      <c r="G56" s="310">
        <v>2.4289999999999998</v>
      </c>
      <c r="H56" s="1"/>
      <c r="I56" s="29">
        <f t="shared" si="3"/>
        <v>4.1000000000000369E-2</v>
      </c>
    </row>
    <row r="57" spans="1:9" ht="20.25">
      <c r="A57" s="10"/>
      <c r="B57" s="16"/>
      <c r="C57" s="410">
        <v>2.6273919999999999</v>
      </c>
      <c r="D57" s="16">
        <f t="shared" si="2"/>
        <v>2.5508660194174757</v>
      </c>
      <c r="E57" s="449">
        <v>41091</v>
      </c>
      <c r="F57" s="450" t="s">
        <v>728</v>
      </c>
      <c r="G57" s="310">
        <v>2.774</v>
      </c>
      <c r="H57" s="1"/>
      <c r="I57" s="29">
        <f t="shared" si="3"/>
        <v>-0.22313398058252432</v>
      </c>
    </row>
    <row r="58" spans="1:9" ht="20.25">
      <c r="A58" s="10"/>
      <c r="B58" s="16"/>
      <c r="C58" s="410">
        <v>2.7423350000000002</v>
      </c>
      <c r="D58" s="16">
        <f t="shared" si="2"/>
        <v>2.6624611650485437</v>
      </c>
      <c r="E58" s="449">
        <v>41122</v>
      </c>
      <c r="F58" s="450" t="s">
        <v>729</v>
      </c>
      <c r="G58" s="310">
        <v>3.01</v>
      </c>
      <c r="H58" s="1"/>
      <c r="I58" s="29">
        <f t="shared" si="3"/>
        <v>-0.3475388349514561</v>
      </c>
    </row>
    <row r="59" spans="1:9" ht="20.25">
      <c r="A59" s="10"/>
      <c r="B59" s="16"/>
      <c r="C59" s="410">
        <v>2.774375</v>
      </c>
      <c r="D59" s="16">
        <f t="shared" si="2"/>
        <v>2.6935679611650487</v>
      </c>
      <c r="E59" s="449">
        <v>41153</v>
      </c>
      <c r="F59" s="450" t="s">
        <v>730</v>
      </c>
      <c r="G59" s="332">
        <v>3.214</v>
      </c>
      <c r="H59" s="1"/>
      <c r="I59" s="29">
        <f t="shared" si="3"/>
        <v>-0.52043203883495126</v>
      </c>
    </row>
    <row r="60" spans="1:9" ht="20.25">
      <c r="A60" s="10"/>
      <c r="B60" s="16"/>
      <c r="C60" s="410">
        <v>2.8526449999999999</v>
      </c>
      <c r="D60" s="16">
        <f t="shared" si="2"/>
        <v>2.7695582524271845</v>
      </c>
      <c r="E60" s="449">
        <v>41183</v>
      </c>
      <c r="F60" s="450" t="s">
        <v>731</v>
      </c>
      <c r="G60" s="332">
        <v>3.222</v>
      </c>
      <c r="H60" s="1"/>
      <c r="I60" s="29">
        <f t="shared" si="3"/>
        <v>-0.45244174757281552</v>
      </c>
    </row>
    <row r="61" spans="1:9" ht="20.25">
      <c r="A61" s="277" t="s">
        <v>474</v>
      </c>
      <c r="B61" s="448">
        <f>AVERAGE(D61:D65)</f>
        <v>3.1357768932038836</v>
      </c>
      <c r="C61" s="410">
        <v>2.995711</v>
      </c>
      <c r="D61" s="16">
        <f t="shared" si="2"/>
        <v>2.9084572815533978</v>
      </c>
      <c r="E61" s="449">
        <v>41214</v>
      </c>
      <c r="F61" s="450" t="s">
        <v>732</v>
      </c>
      <c r="G61" s="332">
        <v>3.37</v>
      </c>
      <c r="H61" s="448">
        <f>AVERAGE(G61:G65)</f>
        <v>3.6219999999999999</v>
      </c>
      <c r="I61" s="29">
        <f t="shared" si="3"/>
        <v>-0.46154271844660233</v>
      </c>
    </row>
    <row r="62" spans="1:9" ht="20.25">
      <c r="A62" s="10"/>
      <c r="B62" s="16"/>
      <c r="C62" s="410">
        <v>3.294699</v>
      </c>
      <c r="D62" s="16">
        <f t="shared" si="2"/>
        <v>3.1987368932038835</v>
      </c>
      <c r="E62" s="449">
        <v>41244</v>
      </c>
      <c r="F62" s="450" t="s">
        <v>733</v>
      </c>
      <c r="G62" s="332">
        <v>3.6019999999999999</v>
      </c>
      <c r="H62" s="1"/>
      <c r="I62" s="29">
        <f t="shared" si="3"/>
        <v>-0.40326310679611632</v>
      </c>
    </row>
    <row r="63" spans="1:9" ht="20.25">
      <c r="A63" s="446" t="s">
        <v>946</v>
      </c>
      <c r="B63" s="388">
        <f>AVERAGE(D63:D74)</f>
        <v>3.2165529126213595</v>
      </c>
      <c r="C63" s="410">
        <v>3.3453789999999999</v>
      </c>
      <c r="D63" s="16">
        <f t="shared" si="2"/>
        <v>3.2479407766990289</v>
      </c>
      <c r="E63" s="449">
        <v>41275</v>
      </c>
      <c r="F63" s="450" t="s">
        <v>722</v>
      </c>
      <c r="G63" s="332">
        <v>3.714</v>
      </c>
      <c r="H63" s="484">
        <f>AVERAGE(G63:G74)</f>
        <v>3.7845833333333334</v>
      </c>
      <c r="I63" s="29">
        <f t="shared" si="3"/>
        <v>-0.46605922330097105</v>
      </c>
    </row>
    <row r="64" spans="1:9" ht="20.25">
      <c r="A64" s="10"/>
      <c r="B64" s="292">
        <f>B63*1.03</f>
        <v>3.3130495000000004</v>
      </c>
      <c r="C64" s="410">
        <v>3.2904230000000001</v>
      </c>
      <c r="D64" s="16">
        <f t="shared" si="2"/>
        <v>3.1945854368932038</v>
      </c>
      <c r="E64" s="449">
        <v>41306</v>
      </c>
      <c r="F64" s="450" t="s">
        <v>723</v>
      </c>
      <c r="G64" s="332">
        <v>3.7269999999999999</v>
      </c>
      <c r="H64" s="1"/>
      <c r="I64" s="29">
        <f t="shared" si="3"/>
        <v>-0.53241456310679602</v>
      </c>
    </row>
    <row r="65" spans="1:9" ht="20.25">
      <c r="A65" s="10"/>
      <c r="B65" s="16"/>
      <c r="C65" s="410">
        <v>3.223039</v>
      </c>
      <c r="D65" s="16">
        <f t="shared" si="2"/>
        <v>3.1291640776699028</v>
      </c>
      <c r="E65" s="449">
        <v>41334</v>
      </c>
      <c r="F65" s="450" t="s">
        <v>724</v>
      </c>
      <c r="G65" s="332">
        <v>3.6970000000000001</v>
      </c>
      <c r="H65" s="1"/>
      <c r="I65" s="29">
        <f t="shared" si="3"/>
        <v>-0.56783592233009728</v>
      </c>
    </row>
    <row r="66" spans="1:9" ht="20.25">
      <c r="A66" s="421" t="s">
        <v>473</v>
      </c>
      <c r="B66" s="422">
        <f>AVERAGE(D66:D72)</f>
        <v>3.1587310679611655</v>
      </c>
      <c r="C66" s="410">
        <v>3.1828340000000002</v>
      </c>
      <c r="D66" s="16">
        <f t="shared" si="2"/>
        <v>3.0901300970873788</v>
      </c>
      <c r="E66" s="449">
        <v>41365</v>
      </c>
      <c r="F66" s="450" t="s">
        <v>725</v>
      </c>
      <c r="G66" s="332">
        <v>3.665</v>
      </c>
      <c r="H66" s="448">
        <f>AVERAGE(G66:G72)</f>
        <v>3.7474285714285718</v>
      </c>
      <c r="I66" s="29">
        <f t="shared" si="3"/>
        <v>-0.57486990291262119</v>
      </c>
    </row>
    <row r="67" spans="1:9" ht="20.25">
      <c r="A67" s="10"/>
      <c r="B67" s="16"/>
      <c r="C67" s="410">
        <v>3.1872579999999999</v>
      </c>
      <c r="D67" s="16">
        <f t="shared" si="2"/>
        <v>3.0944252427184464</v>
      </c>
      <c r="E67" s="449">
        <v>41395</v>
      </c>
      <c r="F67" s="450" t="s">
        <v>726</v>
      </c>
      <c r="G67" s="332">
        <v>3.6859999999999999</v>
      </c>
      <c r="H67" s="1"/>
      <c r="I67" s="29">
        <f t="shared" si="3"/>
        <v>-0.59157475728155351</v>
      </c>
    </row>
    <row r="68" spans="1:9" ht="20.25">
      <c r="A68" s="10"/>
      <c r="B68" s="16"/>
      <c r="C68" s="410">
        <v>3.2014279999999999</v>
      </c>
      <c r="D68" s="16">
        <f t="shared" si="2"/>
        <v>3.1081825242718444</v>
      </c>
      <c r="E68" s="449">
        <v>41426</v>
      </c>
      <c r="F68" s="450" t="s">
        <v>727</v>
      </c>
      <c r="G68" s="332">
        <v>3.7229999999999999</v>
      </c>
      <c r="H68" s="1"/>
      <c r="I68" s="29">
        <f t="shared" si="3"/>
        <v>-0.61481747572815548</v>
      </c>
    </row>
    <row r="69" spans="1:9" ht="20.25">
      <c r="A69" s="10"/>
      <c r="B69" s="16"/>
      <c r="C69" s="410">
        <v>3.228094</v>
      </c>
      <c r="D69" s="16">
        <f t="shared" si="2"/>
        <v>3.1340718446601943</v>
      </c>
      <c r="E69" s="449">
        <v>41456</v>
      </c>
      <c r="F69" s="450" t="s">
        <v>728</v>
      </c>
      <c r="G69" s="332">
        <v>3.766</v>
      </c>
      <c r="H69" s="1"/>
      <c r="I69" s="29">
        <f t="shared" si="3"/>
        <v>-0.63192815533980573</v>
      </c>
    </row>
    <row r="70" spans="1:9" ht="20.25">
      <c r="A70" s="10"/>
      <c r="B70" s="16"/>
      <c r="C70" s="410">
        <v>3.2659099999999999</v>
      </c>
      <c r="D70" s="16">
        <f t="shared" si="2"/>
        <v>3.1707864077669901</v>
      </c>
      <c r="E70" s="449">
        <v>41487</v>
      </c>
      <c r="F70" s="450" t="s">
        <v>729</v>
      </c>
      <c r="G70" s="332">
        <v>3.786</v>
      </c>
      <c r="H70" s="1"/>
      <c r="I70" s="29">
        <f t="shared" si="3"/>
        <v>-0.61521359223300998</v>
      </c>
    </row>
    <row r="71" spans="1:9" ht="20.25">
      <c r="A71" s="10"/>
      <c r="B71" s="16"/>
      <c r="C71" s="410">
        <v>3.3064830000000001</v>
      </c>
      <c r="D71" s="16">
        <f t="shared" si="2"/>
        <v>3.2101776699029125</v>
      </c>
      <c r="E71" s="449">
        <v>41518</v>
      </c>
      <c r="F71" s="450" t="s">
        <v>730</v>
      </c>
      <c r="G71" s="332">
        <v>3.7890000000000001</v>
      </c>
      <c r="H71" s="1"/>
      <c r="I71" s="29">
        <f t="shared" si="3"/>
        <v>-0.57882233009708761</v>
      </c>
    </row>
    <row r="72" spans="1:9" ht="20.25">
      <c r="A72" s="10"/>
      <c r="B72" s="16"/>
      <c r="C72" s="410">
        <v>3.402444</v>
      </c>
      <c r="D72" s="16">
        <f t="shared" si="2"/>
        <v>3.3033436893203882</v>
      </c>
      <c r="E72" s="449">
        <v>41548</v>
      </c>
      <c r="F72" s="450" t="s">
        <v>731</v>
      </c>
      <c r="G72" s="332">
        <v>3.8170000000000002</v>
      </c>
      <c r="H72" s="1"/>
      <c r="I72" s="29">
        <f t="shared" si="3"/>
        <v>-0.51365631067961193</v>
      </c>
    </row>
    <row r="73" spans="1:9" ht="20.25">
      <c r="A73" s="10"/>
      <c r="B73" s="16"/>
      <c r="C73" s="410">
        <v>3.4945529999999998</v>
      </c>
      <c r="D73" s="16">
        <f t="shared" si="2"/>
        <v>3.392769902912621</v>
      </c>
      <c r="E73" s="449">
        <v>41579</v>
      </c>
      <c r="F73" s="450" t="s">
        <v>732</v>
      </c>
      <c r="G73" s="332">
        <v>3.9220000000000002</v>
      </c>
      <c r="H73" s="1"/>
      <c r="I73" s="29">
        <f t="shared" si="3"/>
        <v>-0.52923009708737911</v>
      </c>
    </row>
    <row r="74" spans="1:9" ht="20.25">
      <c r="A74" s="10"/>
      <c r="B74" s="16"/>
      <c r="C74" s="410">
        <v>3.628749</v>
      </c>
      <c r="D74" s="16">
        <f t="shared" si="2"/>
        <v>3.523057281553398</v>
      </c>
      <c r="E74" s="449">
        <v>41609</v>
      </c>
      <c r="F74" s="450" t="s">
        <v>733</v>
      </c>
      <c r="G74" s="332">
        <v>4.1230000000000002</v>
      </c>
      <c r="H74" s="1"/>
      <c r="I74" s="29">
        <f t="shared" si="3"/>
        <v>-0.59994271844660219</v>
      </c>
    </row>
    <row r="75" spans="1:9" ht="20.25">
      <c r="A75" s="10"/>
      <c r="B75" s="16"/>
      <c r="C75" s="10"/>
      <c r="D75" s="10"/>
      <c r="E75" s="358">
        <v>41640</v>
      </c>
      <c r="F75" s="10" t="s">
        <v>722</v>
      </c>
      <c r="G75" s="332">
        <v>4.2300000000000004</v>
      </c>
      <c r="H75" s="448">
        <f>AVERAGE(G75:G87)</f>
        <v>4.1793076923076926</v>
      </c>
      <c r="I75" s="1"/>
    </row>
    <row r="76" spans="1:9" ht="20.25">
      <c r="A76" s="10"/>
      <c r="B76" s="16"/>
      <c r="C76" s="10"/>
      <c r="D76" s="10"/>
      <c r="E76" s="358">
        <v>41671</v>
      </c>
      <c r="F76" s="10" t="s">
        <v>723</v>
      </c>
      <c r="G76" s="332">
        <v>4.2149999999999999</v>
      </c>
      <c r="H76" s="1"/>
      <c r="I76" s="1"/>
    </row>
    <row r="77" spans="1:9" ht="20.25">
      <c r="A77" s="10"/>
      <c r="B77" s="16"/>
      <c r="C77" s="10"/>
      <c r="D77" s="10"/>
      <c r="E77" s="358">
        <v>41699</v>
      </c>
      <c r="F77" s="10" t="s">
        <v>724</v>
      </c>
      <c r="G77" s="332">
        <v>4.1539999999999999</v>
      </c>
      <c r="H77" s="1"/>
      <c r="I77" s="1"/>
    </row>
    <row r="78" spans="1:9" ht="20.25">
      <c r="A78" s="10"/>
      <c r="B78" s="16"/>
      <c r="C78" s="10"/>
      <c r="D78" s="10"/>
      <c r="E78" s="358">
        <v>41730</v>
      </c>
      <c r="F78" s="10" t="s">
        <v>725</v>
      </c>
      <c r="G78" s="350">
        <v>4.0129999999999999</v>
      </c>
      <c r="H78" s="448">
        <f>AVERAGE(G78:G84)</f>
        <v>4.0768571428571425</v>
      </c>
      <c r="I78" s="1"/>
    </row>
    <row r="79" spans="1:9" ht="20.25">
      <c r="A79" s="10"/>
      <c r="B79" s="16"/>
      <c r="C79" s="10"/>
      <c r="D79" s="10"/>
      <c r="E79" s="358">
        <v>41760</v>
      </c>
      <c r="F79" s="10" t="s">
        <v>726</v>
      </c>
      <c r="G79" s="350">
        <v>4.0250000000000004</v>
      </c>
      <c r="H79" s="1"/>
      <c r="I79" s="1"/>
    </row>
    <row r="80" spans="1:9" ht="20.25">
      <c r="A80" s="10"/>
      <c r="B80" s="16"/>
      <c r="C80" s="10"/>
      <c r="D80" s="10"/>
      <c r="E80" s="358">
        <v>41791</v>
      </c>
      <c r="F80" s="10" t="s">
        <v>727</v>
      </c>
      <c r="G80" s="350">
        <v>4.048</v>
      </c>
      <c r="H80" s="1"/>
      <c r="I80" s="1"/>
    </row>
    <row r="81" spans="1:9" ht="20.25">
      <c r="A81" s="10"/>
      <c r="B81" s="16"/>
      <c r="C81" s="10"/>
      <c r="D81" s="10"/>
      <c r="E81" s="358">
        <v>41821</v>
      </c>
      <c r="F81" s="10" t="s">
        <v>728</v>
      </c>
      <c r="G81" s="350">
        <v>4.0880000000000001</v>
      </c>
      <c r="H81" s="1"/>
      <c r="I81" s="1"/>
    </row>
    <row r="82" spans="1:9" ht="20.25">
      <c r="A82" s="10"/>
      <c r="B82" s="16"/>
      <c r="C82" s="10"/>
      <c r="D82" s="10"/>
      <c r="E82" s="358">
        <v>41852</v>
      </c>
      <c r="F82" s="10" t="s">
        <v>729</v>
      </c>
      <c r="G82" s="350">
        <v>4.1070000000000002</v>
      </c>
      <c r="H82" s="1"/>
      <c r="I82" s="1"/>
    </row>
    <row r="83" spans="1:9" ht="20.25">
      <c r="A83" s="10"/>
      <c r="B83" s="16"/>
      <c r="C83" s="10"/>
      <c r="D83" s="10"/>
      <c r="E83" s="358">
        <v>41883</v>
      </c>
      <c r="F83" s="10" t="s">
        <v>730</v>
      </c>
      <c r="G83" s="350">
        <v>4.1100000000000003</v>
      </c>
      <c r="H83" s="1"/>
      <c r="I83" s="1"/>
    </row>
    <row r="84" spans="1:9" ht="20.25">
      <c r="A84" s="10"/>
      <c r="B84" s="16"/>
      <c r="C84" s="10"/>
      <c r="D84" s="10"/>
      <c r="E84" s="358">
        <v>41913</v>
      </c>
      <c r="F84" s="10" t="s">
        <v>731</v>
      </c>
      <c r="G84" s="350">
        <v>4.1470000000000002</v>
      </c>
      <c r="H84" s="1"/>
      <c r="I84" s="1"/>
    </row>
    <row r="85" spans="1:9" ht="20.25">
      <c r="A85" s="10"/>
      <c r="B85" s="16"/>
      <c r="C85" s="10"/>
      <c r="D85" s="10"/>
      <c r="E85" s="358">
        <v>41944</v>
      </c>
      <c r="F85" s="10" t="s">
        <v>732</v>
      </c>
      <c r="G85" s="350">
        <v>4.2370000000000001</v>
      </c>
      <c r="H85" s="1"/>
      <c r="I85" s="1"/>
    </row>
    <row r="86" spans="1:9" ht="20.25">
      <c r="A86" s="10"/>
      <c r="B86" s="16"/>
      <c r="C86" s="10"/>
      <c r="D86" s="10"/>
      <c r="E86" s="358">
        <v>41974</v>
      </c>
      <c r="F86" s="10" t="s">
        <v>733</v>
      </c>
      <c r="G86" s="350">
        <v>4.4290000000000003</v>
      </c>
      <c r="H86" s="1"/>
      <c r="I86" s="1"/>
    </row>
    <row r="87" spans="1:9" ht="20.25">
      <c r="A87" s="10"/>
      <c r="B87" s="16"/>
      <c r="C87" s="10"/>
      <c r="D87" s="10"/>
      <c r="E87" s="358">
        <v>42005</v>
      </c>
      <c r="F87" s="10" t="s">
        <v>722</v>
      </c>
      <c r="G87" s="350">
        <v>4.5279999999999996</v>
      </c>
      <c r="H87" s="1"/>
      <c r="I87" s="1"/>
    </row>
    <row r="88" spans="1:9" ht="20.25">
      <c r="A88" s="10"/>
      <c r="B88" s="16"/>
      <c r="C88" s="10"/>
      <c r="D88" s="10"/>
      <c r="E88" s="358">
        <v>42036</v>
      </c>
      <c r="F88" s="10" t="s">
        <v>723</v>
      </c>
      <c r="G88" s="350">
        <v>4.4950000000000001</v>
      </c>
      <c r="H88" s="1"/>
      <c r="I88" s="1"/>
    </row>
    <row r="89" spans="1:9" ht="20.25">
      <c r="A89" s="10"/>
      <c r="B89" s="16"/>
      <c r="C89" s="10"/>
      <c r="D89" s="10"/>
      <c r="E89" s="358">
        <v>42064</v>
      </c>
      <c r="F89" s="10" t="s">
        <v>724</v>
      </c>
      <c r="G89" s="350">
        <v>4.4169999999999998</v>
      </c>
      <c r="H89" s="1"/>
      <c r="I89" s="1"/>
    </row>
    <row r="90" spans="1:9" ht="20.25">
      <c r="A90" s="10"/>
      <c r="B90" s="16"/>
      <c r="C90" s="10"/>
      <c r="D90" s="10"/>
      <c r="E90" s="358">
        <v>42095</v>
      </c>
      <c r="F90" s="10" t="s">
        <v>725</v>
      </c>
      <c r="G90" s="350">
        <v>4.1870000000000003</v>
      </c>
      <c r="H90" s="1"/>
      <c r="I90" s="1"/>
    </row>
    <row r="91" spans="1:9" ht="20.25">
      <c r="A91" s="10"/>
      <c r="B91" s="16"/>
      <c r="C91" s="10"/>
      <c r="D91" s="10"/>
      <c r="E91" s="358">
        <v>42125</v>
      </c>
      <c r="F91" s="10" t="s">
        <v>726</v>
      </c>
      <c r="G91" s="350">
        <v>4.202</v>
      </c>
      <c r="H91" s="1"/>
      <c r="I91" s="1"/>
    </row>
    <row r="92" spans="1:9" ht="20.25">
      <c r="A92" s="10"/>
      <c r="B92" s="16"/>
      <c r="C92" s="10"/>
      <c r="D92" s="10"/>
      <c r="E92" s="358">
        <v>42156</v>
      </c>
      <c r="F92" s="10" t="s">
        <v>727</v>
      </c>
      <c r="G92" s="350">
        <v>4.2279999999999998</v>
      </c>
      <c r="H92" s="1"/>
      <c r="I92" s="1"/>
    </row>
    <row r="93" spans="1:9" ht="20.25">
      <c r="A93" s="10"/>
      <c r="B93" s="16"/>
      <c r="C93" s="10"/>
      <c r="D93" s="10"/>
      <c r="E93" s="358">
        <v>42186</v>
      </c>
      <c r="F93" s="10" t="s">
        <v>728</v>
      </c>
      <c r="G93" s="350">
        <v>4.2670000000000003</v>
      </c>
      <c r="H93" s="1"/>
      <c r="I93" s="1"/>
    </row>
    <row r="94" spans="1:9" ht="20.25">
      <c r="A94" s="10"/>
      <c r="B94" s="16"/>
      <c r="C94" s="10"/>
      <c r="D94" s="10"/>
      <c r="E94" s="358"/>
      <c r="F94" s="10"/>
      <c r="G94" s="1"/>
      <c r="H94" s="1"/>
      <c r="I94" s="1"/>
    </row>
    <row r="95" spans="1:9" ht="20.25">
      <c r="A95" s="10"/>
      <c r="B95" s="16"/>
      <c r="C95" s="10"/>
      <c r="D95" s="10"/>
      <c r="E95" s="358"/>
      <c r="F95" s="10"/>
      <c r="G95" s="1"/>
      <c r="H95" s="1"/>
      <c r="I95" s="1"/>
    </row>
    <row r="96" spans="1:9" ht="20.25">
      <c r="A96" s="10"/>
      <c r="B96" s="16"/>
      <c r="C96" s="10"/>
      <c r="D96" s="10"/>
      <c r="E96" s="358"/>
      <c r="F96" s="10"/>
      <c r="G96" s="1"/>
      <c r="H96" s="1"/>
      <c r="I96" s="1"/>
    </row>
    <row r="97" spans="1:9" ht="20.25">
      <c r="A97" s="10"/>
      <c r="B97" s="16"/>
      <c r="C97" s="10"/>
      <c r="D97" s="10"/>
      <c r="E97" s="358"/>
      <c r="F97" s="10"/>
      <c r="G97" s="1"/>
      <c r="H97" s="1"/>
      <c r="I97" s="1"/>
    </row>
    <row r="98" spans="1:9" ht="20.25">
      <c r="A98" s="10"/>
      <c r="B98" s="16"/>
      <c r="C98" s="10"/>
      <c r="D98" s="10"/>
      <c r="E98" s="358"/>
      <c r="F98" s="10"/>
      <c r="G98" s="1"/>
      <c r="H98" s="1"/>
      <c r="I98" s="1"/>
    </row>
    <row r="99" spans="1:9" ht="20.25">
      <c r="A99" s="10"/>
      <c r="B99" s="16"/>
      <c r="C99" s="10"/>
      <c r="D99" s="10"/>
      <c r="E99" s="358"/>
      <c r="F99" s="10"/>
      <c r="G99" s="1"/>
      <c r="H99" s="1"/>
      <c r="I99" s="1"/>
    </row>
    <row r="100" spans="1:9" ht="20.25">
      <c r="A100" s="10"/>
      <c r="B100" s="16"/>
      <c r="C100" s="10"/>
      <c r="D100" s="10"/>
      <c r="E100" s="358"/>
      <c r="F100" s="10"/>
      <c r="G100" s="1"/>
      <c r="H100" s="1"/>
      <c r="I100" s="1"/>
    </row>
    <row r="101" spans="1:9" ht="20.25">
      <c r="A101" s="10"/>
      <c r="B101" s="16"/>
      <c r="C101" s="10"/>
      <c r="D101" s="10"/>
      <c r="E101" s="358"/>
      <c r="F101" s="10"/>
      <c r="G101" s="1"/>
      <c r="H101" s="1"/>
      <c r="I101" s="1"/>
    </row>
    <row r="102" spans="1:9" ht="20.25">
      <c r="A102" s="10"/>
      <c r="B102" s="16"/>
      <c r="C102" s="10"/>
      <c r="D102" s="10"/>
      <c r="E102" s="358"/>
      <c r="F102" s="10"/>
      <c r="G102" s="1"/>
      <c r="H102" s="1"/>
      <c r="I102" s="1"/>
    </row>
    <row r="103" spans="1:9" ht="20.25">
      <c r="A103" s="10"/>
      <c r="B103" s="16"/>
      <c r="C103" s="10"/>
      <c r="D103" s="10"/>
      <c r="E103" s="358"/>
      <c r="F103" s="10"/>
      <c r="G103" s="1"/>
      <c r="H103" s="1"/>
      <c r="I103" s="1"/>
    </row>
    <row r="104" spans="1:9" ht="20.25">
      <c r="A104" s="10"/>
      <c r="B104" s="16"/>
      <c r="C104" s="10"/>
      <c r="D104" s="10"/>
      <c r="E104" s="358"/>
      <c r="F104" s="10"/>
      <c r="G104" s="1"/>
      <c r="H104" s="1"/>
      <c r="I104" s="1"/>
    </row>
    <row r="105" spans="1:9" ht="20.25">
      <c r="A105" s="10"/>
      <c r="B105" s="16"/>
      <c r="C105" s="10"/>
      <c r="D105" s="10"/>
      <c r="E105" s="358"/>
      <c r="F105" s="10"/>
      <c r="G105" s="1"/>
      <c r="H105" s="1"/>
      <c r="I105" s="1"/>
    </row>
    <row r="106" spans="1:9" ht="20.25">
      <c r="A106" s="10"/>
      <c r="B106" s="16"/>
      <c r="C106" s="10"/>
      <c r="D106" s="10"/>
      <c r="E106" s="358"/>
      <c r="F106" s="10"/>
      <c r="G106" s="1"/>
      <c r="H106" s="1"/>
      <c r="I106" s="1"/>
    </row>
    <row r="107" spans="1:9" ht="20.25">
      <c r="A107" s="10"/>
      <c r="B107" s="16"/>
      <c r="C107" s="10"/>
      <c r="D107" s="10"/>
      <c r="E107" s="358"/>
      <c r="F107" s="10"/>
      <c r="G107" s="1"/>
      <c r="H107" s="1"/>
      <c r="I107" s="1"/>
    </row>
    <row r="108" spans="1:9" ht="20.25">
      <c r="A108" s="10"/>
      <c r="B108" s="16"/>
      <c r="C108" s="10"/>
      <c r="D108" s="10"/>
      <c r="E108" s="358"/>
      <c r="F108" s="10"/>
      <c r="G108" s="1"/>
      <c r="H108" s="1"/>
      <c r="I108" s="1"/>
    </row>
    <row r="109" spans="1:9" ht="20.25">
      <c r="A109" s="10"/>
      <c r="B109" s="16"/>
      <c r="C109" s="10"/>
      <c r="D109" s="10"/>
      <c r="E109" s="358"/>
      <c r="F109" s="10"/>
      <c r="G109" s="1"/>
      <c r="H109" s="1"/>
      <c r="I109" s="1"/>
    </row>
    <row r="110" spans="1:9" ht="20.25">
      <c r="A110" s="10"/>
      <c r="B110" s="16"/>
      <c r="C110" s="10"/>
      <c r="D110" s="10"/>
      <c r="E110" s="358"/>
      <c r="F110" s="10"/>
      <c r="G110" s="1"/>
      <c r="H110" s="1"/>
      <c r="I110" s="1"/>
    </row>
    <row r="111" spans="1:9" ht="20.25">
      <c r="A111" s="10"/>
      <c r="B111" s="16"/>
      <c r="C111" s="10"/>
      <c r="D111" s="10"/>
      <c r="E111" s="358"/>
      <c r="F111" s="10"/>
      <c r="G111" s="1"/>
      <c r="H111" s="1"/>
      <c r="I111" s="1"/>
    </row>
    <row r="112" spans="1:9" ht="20.25">
      <c r="A112" s="10"/>
      <c r="B112" s="16"/>
      <c r="C112" s="10"/>
      <c r="D112" s="10"/>
      <c r="E112" s="358"/>
      <c r="F112" s="10"/>
      <c r="G112" s="1"/>
      <c r="H112" s="1"/>
      <c r="I112" s="1"/>
    </row>
    <row r="113" spans="1:9" ht="20.25">
      <c r="A113" s="10"/>
      <c r="B113" s="16"/>
      <c r="C113" s="10"/>
      <c r="D113" s="10"/>
      <c r="E113" s="358"/>
      <c r="F113" s="10"/>
      <c r="G113" s="1"/>
      <c r="H113" s="1"/>
      <c r="I113" s="1"/>
    </row>
    <row r="114" spans="1:9" ht="20.25">
      <c r="A114" s="10"/>
      <c r="B114" s="16"/>
      <c r="C114" s="10"/>
      <c r="D114" s="10"/>
      <c r="E114" s="358"/>
      <c r="F114" s="10"/>
      <c r="G114" s="1"/>
      <c r="H114" s="1"/>
      <c r="I114" s="1"/>
    </row>
    <row r="115" spans="1:9" ht="20.25">
      <c r="A115" s="10"/>
      <c r="B115" s="16"/>
      <c r="C115" s="10"/>
      <c r="D115" s="10"/>
      <c r="E115" s="358"/>
      <c r="F115" s="10"/>
      <c r="G115" s="1"/>
      <c r="H115" s="1"/>
      <c r="I115" s="1"/>
    </row>
  </sheetData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3">
    <pageSetUpPr fitToPage="1"/>
  </sheetPr>
  <dimension ref="A1:IV46"/>
  <sheetViews>
    <sheetView zoomScale="50" workbookViewId="0">
      <pane xSplit="1" ySplit="2" topLeftCell="G3" activePane="bottomRight" state="frozen"/>
      <selection activeCell="I74" sqref="I74"/>
      <selection pane="topRight" activeCell="I74" sqref="I74"/>
      <selection pane="bottomLeft" activeCell="I74" sqref="I74"/>
      <selection pane="bottomRight" activeCell="T29" sqref="T29"/>
    </sheetView>
  </sheetViews>
  <sheetFormatPr defaultRowHeight="20.25"/>
  <cols>
    <col min="1" max="1" width="41.21875" style="1" bestFit="1" customWidth="1"/>
    <col min="2" max="4" width="15.88671875" style="1" bestFit="1" customWidth="1"/>
    <col min="5" max="5" width="18.33203125" style="1" bestFit="1" customWidth="1"/>
    <col min="6" max="8" width="15.88671875" style="1" bestFit="1" customWidth="1"/>
    <col min="9" max="9" width="18.33203125" style="1" bestFit="1" customWidth="1"/>
    <col min="10" max="10" width="17" style="1" bestFit="1" customWidth="1"/>
    <col min="11" max="11" width="15.44140625" style="1" bestFit="1" customWidth="1"/>
    <col min="12" max="20" width="15.88671875" style="1" bestFit="1" customWidth="1"/>
    <col min="21" max="23" width="15.44140625" style="1" bestFit="1" customWidth="1"/>
    <col min="24" max="38" width="15.88671875" style="1" bestFit="1" customWidth="1"/>
    <col min="39" max="39" width="13.88671875" style="1" bestFit="1" customWidth="1"/>
    <col min="40" max="40" width="12.109375" style="1" bestFit="1" customWidth="1"/>
    <col min="41" max="16384" width="8.88671875" style="1"/>
  </cols>
  <sheetData>
    <row r="1" spans="1:256">
      <c r="A1" s="22">
        <f>SUM(C8:F8)</f>
        <v>936605</v>
      </c>
      <c r="B1" s="16">
        <f>AVERAGE(C9:F9)</f>
        <v>4.0002019978874976</v>
      </c>
      <c r="C1" s="13" t="s">
        <v>55</v>
      </c>
      <c r="D1" s="28">
        <f>2473266+285000</f>
        <v>2758266</v>
      </c>
      <c r="E1" s="128"/>
      <c r="F1" s="37"/>
      <c r="G1" s="37"/>
      <c r="H1" s="37"/>
      <c r="I1" s="37"/>
      <c r="J1" s="37"/>
      <c r="K1" s="37"/>
      <c r="L1" s="37"/>
      <c r="M1" s="37"/>
      <c r="N1" s="37"/>
      <c r="O1" s="13" t="s">
        <v>55</v>
      </c>
      <c r="P1" s="28">
        <f>2473266+285000</f>
        <v>2758266</v>
      </c>
      <c r="AA1" s="13" t="s">
        <v>55</v>
      </c>
      <c r="AB1" s="28">
        <f>2473266+285000</f>
        <v>2758266</v>
      </c>
      <c r="AM1" s="13" t="s">
        <v>55</v>
      </c>
      <c r="AN1" s="28">
        <f>2473266+285000</f>
        <v>2758266</v>
      </c>
    </row>
    <row r="2" spans="1:256" s="10" customFormat="1">
      <c r="B2" s="46">
        <v>40695</v>
      </c>
      <c r="C2" s="46">
        <v>40725</v>
      </c>
      <c r="D2" s="46">
        <v>40756</v>
      </c>
      <c r="E2" s="46">
        <v>40787</v>
      </c>
      <c r="F2" s="46">
        <v>40817</v>
      </c>
      <c r="G2" s="46">
        <v>40848</v>
      </c>
      <c r="H2" s="46">
        <v>40878</v>
      </c>
      <c r="I2" s="46">
        <v>40909</v>
      </c>
      <c r="J2" s="46">
        <v>40940</v>
      </c>
      <c r="K2" s="46">
        <v>40969</v>
      </c>
      <c r="L2" s="46">
        <v>41000</v>
      </c>
      <c r="M2" s="46">
        <v>41030</v>
      </c>
      <c r="N2" s="46">
        <v>41061</v>
      </c>
      <c r="O2" s="46">
        <v>41091</v>
      </c>
      <c r="P2" s="46">
        <v>41122</v>
      </c>
      <c r="Q2" s="46">
        <v>41153</v>
      </c>
      <c r="R2" s="46">
        <v>41183</v>
      </c>
      <c r="S2" s="46">
        <v>41214</v>
      </c>
      <c r="T2" s="46">
        <v>41244</v>
      </c>
      <c r="U2" s="46">
        <v>41275</v>
      </c>
      <c r="V2" s="46">
        <v>41306</v>
      </c>
      <c r="W2" s="46">
        <v>41334</v>
      </c>
      <c r="X2" s="46">
        <v>41365</v>
      </c>
      <c r="Y2" s="46">
        <v>41395</v>
      </c>
      <c r="Z2" s="46">
        <v>41426</v>
      </c>
      <c r="AA2" s="46">
        <v>41456</v>
      </c>
      <c r="AB2" s="46">
        <v>41487</v>
      </c>
      <c r="AC2" s="46">
        <v>41518</v>
      </c>
      <c r="AD2" s="46">
        <v>41548</v>
      </c>
      <c r="AE2" s="46">
        <v>41579</v>
      </c>
      <c r="AF2" s="46">
        <v>41609</v>
      </c>
      <c r="AG2" s="46">
        <v>41640</v>
      </c>
      <c r="AH2" s="46">
        <v>41671</v>
      </c>
      <c r="AI2" s="46">
        <v>41699</v>
      </c>
      <c r="AJ2" s="46">
        <v>41730</v>
      </c>
      <c r="AK2" s="46">
        <v>41760</v>
      </c>
      <c r="AL2" s="46">
        <v>41791</v>
      </c>
      <c r="AM2" s="46">
        <v>41821</v>
      </c>
    </row>
    <row r="3" spans="1:256" s="124" customFormat="1">
      <c r="A3" s="103" t="s">
        <v>191</v>
      </c>
      <c r="C3" s="124">
        <v>0.2</v>
      </c>
      <c r="D3" s="124">
        <v>0.2</v>
      </c>
      <c r="E3" s="124">
        <v>0.13</v>
      </c>
      <c r="F3" s="124">
        <v>7.0000000000000007E-2</v>
      </c>
      <c r="G3" s="124">
        <v>0.05</v>
      </c>
      <c r="L3" s="124">
        <v>0.15</v>
      </c>
      <c r="M3" s="124">
        <v>0.2</v>
      </c>
      <c r="N3" s="124">
        <v>0.2</v>
      </c>
      <c r="O3" s="124">
        <v>0.2</v>
      </c>
      <c r="P3" s="124">
        <v>0.2</v>
      </c>
      <c r="Q3" s="124">
        <v>0.13</v>
      </c>
      <c r="R3" s="124">
        <v>7.0000000000000007E-2</v>
      </c>
      <c r="X3" s="124">
        <v>0.15</v>
      </c>
      <c r="Y3" s="124">
        <v>0.2</v>
      </c>
      <c r="Z3" s="124">
        <v>0.2</v>
      </c>
      <c r="AA3" s="124">
        <v>0.2</v>
      </c>
      <c r="AB3" s="124">
        <v>0.2</v>
      </c>
      <c r="AC3" s="124">
        <v>0.13</v>
      </c>
      <c r="AD3" s="124">
        <v>7.0000000000000007E-2</v>
      </c>
      <c r="AJ3" s="124">
        <v>0.15</v>
      </c>
      <c r="AK3" s="124">
        <v>0.2</v>
      </c>
      <c r="AL3" s="124">
        <v>0.2</v>
      </c>
    </row>
    <row r="4" spans="1:256" s="31" customFormat="1">
      <c r="A4" s="31" t="s">
        <v>56</v>
      </c>
      <c r="B4" s="22"/>
      <c r="C4" s="22">
        <f>C3*$D$1</f>
        <v>551653.20000000007</v>
      </c>
      <c r="D4" s="22">
        <f>D3*$D$1</f>
        <v>551653.20000000007</v>
      </c>
      <c r="E4" s="22">
        <f>E3*$D$1</f>
        <v>358574.58</v>
      </c>
      <c r="F4" s="22">
        <f>F3*$D$1</f>
        <v>193078.62000000002</v>
      </c>
      <c r="G4" s="22">
        <f>G3*$D$1</f>
        <v>137913.30000000002</v>
      </c>
      <c r="L4" s="22">
        <f>L3*$D$1</f>
        <v>413739.89999999997</v>
      </c>
      <c r="M4" s="22">
        <f>M3*$D$1</f>
        <v>551653.20000000007</v>
      </c>
      <c r="N4" s="22">
        <f>N3*$D$1</f>
        <v>551653.20000000007</v>
      </c>
      <c r="O4" s="22">
        <f>O3*$P$1</f>
        <v>551653.20000000007</v>
      </c>
      <c r="P4" s="22">
        <f>P3*$P$1</f>
        <v>551653.20000000007</v>
      </c>
      <c r="Q4" s="22">
        <f>Q3*$P$1</f>
        <v>358574.58</v>
      </c>
      <c r="R4" s="22">
        <f>R3*$P$1</f>
        <v>193078.62000000002</v>
      </c>
      <c r="X4" s="22">
        <f>X3*$P$1</f>
        <v>413739.89999999997</v>
      </c>
      <c r="Y4" s="22">
        <f>Y3*$P$1</f>
        <v>551653.20000000007</v>
      </c>
      <c r="Z4" s="22">
        <f>Z3*$P$1</f>
        <v>551653.20000000007</v>
      </c>
      <c r="AA4" s="22">
        <f>AA3*$AB$1</f>
        <v>551653.20000000007</v>
      </c>
      <c r="AB4" s="22">
        <f>AB3*$AB$1</f>
        <v>551653.20000000007</v>
      </c>
      <c r="AC4" s="22">
        <f>AC3*$AB$1</f>
        <v>358574.58</v>
      </c>
      <c r="AD4" s="22">
        <f>AD3*$AB$1</f>
        <v>193078.62000000002</v>
      </c>
    </row>
    <row r="5" spans="1:256">
      <c r="A5" s="1" t="s">
        <v>192</v>
      </c>
      <c r="B5" s="124"/>
      <c r="C5" s="150">
        <v>0.12</v>
      </c>
      <c r="D5" s="150">
        <v>0.13</v>
      </c>
      <c r="E5" s="150">
        <v>0.08</v>
      </c>
      <c r="F5" s="150">
        <v>0.04</v>
      </c>
      <c r="L5" s="150">
        <v>0.09</v>
      </c>
      <c r="M5" s="150">
        <v>0.13</v>
      </c>
      <c r="N5" s="150">
        <v>0.13</v>
      </c>
      <c r="O5" s="150">
        <v>0.12</v>
      </c>
      <c r="P5" s="150">
        <v>0.13</v>
      </c>
      <c r="Q5" s="150">
        <v>0.08</v>
      </c>
      <c r="R5" s="150">
        <v>0.04</v>
      </c>
      <c r="X5" s="150">
        <v>0.09</v>
      </c>
      <c r="Y5" s="150">
        <v>0.13</v>
      </c>
      <c r="Z5" s="150">
        <v>0.13</v>
      </c>
      <c r="AA5" s="150">
        <v>0.12</v>
      </c>
      <c r="AB5" s="150">
        <v>0.13</v>
      </c>
      <c r="AC5" s="150">
        <v>0.08</v>
      </c>
      <c r="AD5" s="150">
        <v>0.04</v>
      </c>
      <c r="AJ5" s="150">
        <v>0.09</v>
      </c>
      <c r="AK5" s="150">
        <v>0.13</v>
      </c>
      <c r="AL5" s="150">
        <v>0.13</v>
      </c>
    </row>
    <row r="6" spans="1:256">
      <c r="A6" s="1" t="s">
        <v>343</v>
      </c>
      <c r="B6" s="124"/>
      <c r="C6" s="22">
        <f>C5*$D$1</f>
        <v>330991.92</v>
      </c>
      <c r="D6" s="22">
        <f>D5*$D$1</f>
        <v>358574.58</v>
      </c>
      <c r="E6" s="22">
        <f>E5*$D$1</f>
        <v>220661.28</v>
      </c>
      <c r="F6" s="22">
        <f>F5*$D$1</f>
        <v>110330.64</v>
      </c>
      <c r="G6" s="22"/>
      <c r="L6" s="28">
        <f>L5*$P$1</f>
        <v>248243.94</v>
      </c>
      <c r="M6" s="28">
        <f t="shared" ref="M6:R6" si="0">M5*$P$1</f>
        <v>358574.58</v>
      </c>
      <c r="N6" s="28">
        <f t="shared" si="0"/>
        <v>358574.58</v>
      </c>
      <c r="O6" s="28">
        <f t="shared" si="0"/>
        <v>330991.92</v>
      </c>
      <c r="P6" s="28">
        <f t="shared" si="0"/>
        <v>358574.58</v>
      </c>
      <c r="Q6" s="28">
        <f t="shared" si="0"/>
        <v>220661.28</v>
      </c>
      <c r="R6" s="28">
        <f t="shared" si="0"/>
        <v>110330.64</v>
      </c>
      <c r="X6" s="28">
        <f>X5*$AB$1</f>
        <v>248243.94</v>
      </c>
      <c r="Y6" s="28">
        <f t="shared" ref="Y6:AD6" si="1">Y5*$AB$1</f>
        <v>358574.58</v>
      </c>
      <c r="Z6" s="28">
        <f t="shared" si="1"/>
        <v>358574.58</v>
      </c>
      <c r="AA6" s="28">
        <f t="shared" si="1"/>
        <v>330991.92</v>
      </c>
      <c r="AB6" s="28">
        <f t="shared" si="1"/>
        <v>358574.58</v>
      </c>
      <c r="AC6" s="28">
        <f t="shared" si="1"/>
        <v>220661.28</v>
      </c>
      <c r="AD6" s="28">
        <f t="shared" si="1"/>
        <v>110330.64</v>
      </c>
      <c r="AJ6" s="28">
        <f>AJ5*$AN$1</f>
        <v>248243.94</v>
      </c>
      <c r="AK6" s="28">
        <f>AK5*$AN$1</f>
        <v>358574.58</v>
      </c>
      <c r="AL6" s="28">
        <f>AL5*$AN$1</f>
        <v>358574.58</v>
      </c>
    </row>
    <row r="7" spans="1:256">
      <c r="A7" s="1" t="s">
        <v>342</v>
      </c>
      <c r="B7" s="124"/>
      <c r="C7" s="124">
        <f>C8/$D$1</f>
        <v>0.13210147244681986</v>
      </c>
      <c r="D7" s="124">
        <f>D8/$D$1</f>
        <v>0.10865449525172699</v>
      </c>
      <c r="E7" s="124">
        <f>E8/$D$1</f>
        <v>7.4177762405801331E-2</v>
      </c>
      <c r="F7" s="124">
        <f>F8/$D$1</f>
        <v>2.4629241704752187E-2</v>
      </c>
      <c r="G7" s="124">
        <f>G8/$D$1</f>
        <v>4.5550356637104612E-2</v>
      </c>
      <c r="L7" s="124">
        <f t="shared" ref="L7:R7" si="2">L8/$P$1</f>
        <v>8.9916636031477745E-2</v>
      </c>
      <c r="M7" s="124">
        <f t="shared" si="2"/>
        <v>0.10311768335613751</v>
      </c>
      <c r="N7" s="124">
        <f t="shared" si="2"/>
        <v>0.10451747583445542</v>
      </c>
      <c r="O7" s="124">
        <f t="shared" si="2"/>
        <v>0.12</v>
      </c>
      <c r="P7" s="124">
        <f t="shared" si="2"/>
        <v>0.13</v>
      </c>
      <c r="Q7" s="124">
        <f t="shared" si="2"/>
        <v>0.08</v>
      </c>
      <c r="R7" s="124">
        <f t="shared" si="2"/>
        <v>0.04</v>
      </c>
      <c r="X7" s="124"/>
      <c r="Y7" s="124"/>
      <c r="Z7" s="124"/>
      <c r="AA7" s="124"/>
      <c r="AB7" s="124"/>
      <c r="AC7" s="124"/>
      <c r="AD7" s="124"/>
      <c r="AJ7" s="124"/>
      <c r="AK7" s="124"/>
      <c r="AL7" s="124"/>
    </row>
    <row r="8" spans="1:256" s="137" customFormat="1">
      <c r="A8" s="137" t="s">
        <v>193</v>
      </c>
      <c r="B8" s="193"/>
      <c r="C8" s="394">
        <v>364371</v>
      </c>
      <c r="D8" s="394">
        <v>299698</v>
      </c>
      <c r="E8" s="394">
        <v>204602</v>
      </c>
      <c r="F8" s="394">
        <v>67934</v>
      </c>
      <c r="G8" s="394">
        <v>125640</v>
      </c>
      <c r="H8" s="394">
        <v>51364</v>
      </c>
      <c r="I8" s="394">
        <v>25045</v>
      </c>
      <c r="J8" s="394">
        <v>25390</v>
      </c>
      <c r="K8" s="394">
        <v>37557</v>
      </c>
      <c r="L8" s="394">
        <v>248014</v>
      </c>
      <c r="M8" s="394">
        <v>284426</v>
      </c>
      <c r="N8" s="394">
        <v>288287</v>
      </c>
      <c r="O8" s="193">
        <f t="shared" ref="O8:R8" si="3">O6</f>
        <v>330991.92</v>
      </c>
      <c r="P8" s="193">
        <f t="shared" si="3"/>
        <v>358574.58</v>
      </c>
      <c r="Q8" s="193">
        <f t="shared" si="3"/>
        <v>220661.28</v>
      </c>
      <c r="R8" s="193">
        <f t="shared" si="3"/>
        <v>110330.64</v>
      </c>
      <c r="S8" s="214"/>
      <c r="T8" s="214"/>
      <c r="U8" s="214"/>
      <c r="V8" s="214"/>
      <c r="W8" s="214"/>
      <c r="X8" s="193">
        <f>X6</f>
        <v>248243.94</v>
      </c>
      <c r="Y8" s="193">
        <f t="shared" ref="Y8:AD8" si="4">Y6</f>
        <v>358574.58</v>
      </c>
      <c r="Z8" s="193">
        <f t="shared" si="4"/>
        <v>358574.58</v>
      </c>
      <c r="AA8" s="193">
        <f t="shared" si="4"/>
        <v>330991.92</v>
      </c>
      <c r="AB8" s="193">
        <f t="shared" si="4"/>
        <v>358574.58</v>
      </c>
      <c r="AC8" s="193">
        <f t="shared" si="4"/>
        <v>220661.28</v>
      </c>
      <c r="AD8" s="193">
        <f t="shared" si="4"/>
        <v>110330.64</v>
      </c>
      <c r="AE8" s="214"/>
      <c r="AF8" s="214"/>
      <c r="AG8" s="214"/>
      <c r="AH8" s="214"/>
      <c r="AI8" s="214"/>
      <c r="AJ8" s="193">
        <f>AJ5*$AN$1</f>
        <v>248243.94</v>
      </c>
      <c r="AK8" s="193">
        <f>AK5*$AN$1</f>
        <v>358574.58</v>
      </c>
      <c r="AL8" s="193">
        <f>AL5*$AN$1</f>
        <v>358574.58</v>
      </c>
      <c r="AM8" s="229"/>
      <c r="AN8" s="229"/>
      <c r="AO8" s="229"/>
      <c r="AP8" s="229"/>
      <c r="AQ8" s="229"/>
      <c r="AR8" s="229"/>
      <c r="AS8" s="229"/>
      <c r="AT8" s="229"/>
      <c r="AU8" s="229"/>
      <c r="AV8" s="229"/>
      <c r="AW8" s="229"/>
      <c r="AX8" s="229"/>
      <c r="AY8" s="229"/>
      <c r="AZ8" s="229"/>
      <c r="BA8" s="229"/>
      <c r="BB8" s="229"/>
      <c r="BC8" s="229"/>
      <c r="BD8" s="229"/>
      <c r="BE8" s="229"/>
      <c r="BF8" s="229"/>
      <c r="BG8" s="229"/>
      <c r="BH8" s="229"/>
      <c r="BI8" s="229"/>
      <c r="BJ8" s="229"/>
      <c r="BK8" s="229"/>
      <c r="BL8" s="229"/>
      <c r="BM8" s="229"/>
      <c r="BN8" s="229"/>
      <c r="BO8" s="229"/>
      <c r="BP8" s="229"/>
      <c r="BQ8" s="229"/>
      <c r="BR8" s="229"/>
      <c r="BS8" s="229"/>
      <c r="BT8" s="229"/>
      <c r="BU8" s="229"/>
      <c r="BV8" s="229"/>
      <c r="BW8" s="229"/>
      <c r="BX8" s="229"/>
      <c r="BY8" s="229"/>
      <c r="BZ8" s="229"/>
      <c r="CA8" s="229"/>
      <c r="CB8" s="229"/>
      <c r="CC8" s="229"/>
      <c r="CD8" s="229"/>
      <c r="CE8" s="229"/>
      <c r="CF8" s="229"/>
      <c r="CG8" s="229"/>
      <c r="CH8" s="229"/>
      <c r="CI8" s="229"/>
      <c r="CJ8" s="229"/>
      <c r="CK8" s="229"/>
      <c r="CL8" s="229"/>
      <c r="CM8" s="229"/>
      <c r="CN8" s="229"/>
      <c r="CO8" s="229"/>
      <c r="CP8" s="229"/>
      <c r="CQ8" s="229"/>
      <c r="CR8" s="229"/>
      <c r="CS8" s="229"/>
      <c r="CT8" s="229"/>
      <c r="CU8" s="229"/>
      <c r="CV8" s="229"/>
      <c r="CW8" s="229"/>
      <c r="CX8" s="229"/>
      <c r="CY8" s="229"/>
      <c r="CZ8" s="229"/>
      <c r="DA8" s="229"/>
      <c r="DB8" s="229"/>
      <c r="DC8" s="229"/>
      <c r="DD8" s="229"/>
      <c r="DE8" s="229"/>
      <c r="DF8" s="229"/>
      <c r="DG8" s="229"/>
      <c r="DH8" s="229"/>
      <c r="DI8" s="229"/>
      <c r="DJ8" s="229"/>
      <c r="DK8" s="229"/>
      <c r="DL8" s="229"/>
      <c r="DM8" s="229"/>
      <c r="DN8" s="229"/>
      <c r="DO8" s="229"/>
      <c r="DP8" s="229"/>
      <c r="DQ8" s="229"/>
      <c r="DR8" s="229"/>
      <c r="DS8" s="229"/>
      <c r="DT8" s="229"/>
      <c r="DU8" s="229"/>
      <c r="DV8" s="229"/>
      <c r="DW8" s="229"/>
      <c r="DX8" s="229"/>
      <c r="DY8" s="229"/>
      <c r="DZ8" s="229"/>
      <c r="EA8" s="229"/>
      <c r="EB8" s="229"/>
      <c r="EC8" s="229"/>
      <c r="ED8" s="229"/>
      <c r="EE8" s="229"/>
      <c r="EF8" s="229"/>
      <c r="EG8" s="229"/>
      <c r="EH8" s="229"/>
      <c r="EI8" s="229"/>
      <c r="EJ8" s="229"/>
      <c r="EK8" s="229"/>
      <c r="EL8" s="229"/>
      <c r="EM8" s="229"/>
      <c r="EN8" s="229"/>
      <c r="EO8" s="229"/>
      <c r="EP8" s="229"/>
      <c r="EQ8" s="229"/>
      <c r="ER8" s="229"/>
      <c r="ES8" s="229"/>
      <c r="ET8" s="229"/>
      <c r="EU8" s="229"/>
      <c r="EV8" s="229"/>
      <c r="EW8" s="229"/>
      <c r="EX8" s="229"/>
      <c r="EY8" s="229"/>
      <c r="EZ8" s="229"/>
      <c r="FA8" s="229"/>
      <c r="FB8" s="229"/>
      <c r="FC8" s="229"/>
      <c r="FD8" s="229"/>
      <c r="FE8" s="229"/>
      <c r="FF8" s="229"/>
      <c r="FG8" s="229"/>
      <c r="FH8" s="229"/>
      <c r="FI8" s="229"/>
      <c r="FJ8" s="229"/>
      <c r="FK8" s="229"/>
      <c r="FL8" s="229"/>
      <c r="FM8" s="229"/>
      <c r="FN8" s="229"/>
      <c r="FO8" s="229"/>
      <c r="FP8" s="229"/>
      <c r="FQ8" s="229"/>
      <c r="FR8" s="229"/>
      <c r="FS8" s="229"/>
      <c r="FT8" s="229"/>
      <c r="FU8" s="229"/>
      <c r="FV8" s="229"/>
      <c r="FW8" s="229"/>
      <c r="FX8" s="229"/>
      <c r="FY8" s="229"/>
      <c r="FZ8" s="229"/>
      <c r="GA8" s="229"/>
      <c r="GB8" s="229"/>
      <c r="GC8" s="229"/>
      <c r="GD8" s="229"/>
      <c r="GE8" s="229"/>
      <c r="GF8" s="229"/>
      <c r="GG8" s="229"/>
      <c r="GH8" s="229"/>
      <c r="GI8" s="229"/>
      <c r="GJ8" s="229"/>
      <c r="GK8" s="229"/>
      <c r="GL8" s="229"/>
      <c r="GM8" s="229"/>
      <c r="GN8" s="229"/>
      <c r="GO8" s="229"/>
      <c r="GP8" s="229"/>
      <c r="GQ8" s="229"/>
      <c r="GR8" s="229"/>
      <c r="GS8" s="229"/>
      <c r="GT8" s="229"/>
      <c r="GU8" s="229"/>
      <c r="GV8" s="229"/>
      <c r="GW8" s="229"/>
      <c r="GX8" s="229"/>
      <c r="GY8" s="229"/>
      <c r="GZ8" s="229"/>
      <c r="HA8" s="229"/>
      <c r="HB8" s="229"/>
      <c r="HC8" s="229"/>
      <c r="HD8" s="229"/>
      <c r="HE8" s="229"/>
      <c r="HF8" s="229"/>
      <c r="HG8" s="229"/>
      <c r="HH8" s="229"/>
      <c r="HI8" s="229"/>
      <c r="HJ8" s="229"/>
      <c r="HK8" s="229"/>
      <c r="HL8" s="229"/>
      <c r="HM8" s="229"/>
      <c r="HN8" s="229"/>
      <c r="HO8" s="229"/>
      <c r="HP8" s="229"/>
      <c r="HQ8" s="229"/>
      <c r="HR8" s="229"/>
      <c r="HS8" s="229"/>
      <c r="HT8" s="229"/>
      <c r="HU8" s="229"/>
      <c r="HV8" s="229"/>
      <c r="HW8" s="229"/>
      <c r="HX8" s="229"/>
      <c r="HY8" s="229"/>
      <c r="HZ8" s="229"/>
      <c r="IA8" s="229"/>
      <c r="IB8" s="229"/>
      <c r="IC8" s="229"/>
      <c r="ID8" s="229"/>
      <c r="IE8" s="229"/>
      <c r="IF8" s="229"/>
      <c r="IG8" s="229"/>
      <c r="IH8" s="229"/>
      <c r="II8" s="229"/>
      <c r="IJ8" s="229"/>
      <c r="IK8" s="229"/>
      <c r="IL8" s="229"/>
      <c r="IM8" s="229"/>
      <c r="IN8" s="229"/>
      <c r="IO8" s="229"/>
      <c r="IP8" s="229"/>
      <c r="IQ8" s="229"/>
      <c r="IR8" s="229"/>
      <c r="IS8" s="229"/>
      <c r="IT8" s="229"/>
      <c r="IU8" s="229"/>
      <c r="IV8" s="229"/>
    </row>
    <row r="9" spans="1:256" s="220" customFormat="1">
      <c r="A9" s="222" t="s">
        <v>57</v>
      </c>
      <c r="B9" s="187"/>
      <c r="C9" s="410">
        <f>+'GAS '!C90</f>
        <v>4.2244339223362601</v>
      </c>
      <c r="D9" s="410">
        <f>+'GAS '!D90</f>
        <v>4.2345524184482155</v>
      </c>
      <c r="E9" s="410">
        <f>+'GAS '!E90</f>
        <v>3.8149627470383685</v>
      </c>
      <c r="F9" s="410">
        <f>+'GAS '!F90</f>
        <v>3.7268589037271469</v>
      </c>
      <c r="G9" s="410">
        <f>+'GAS '!G90</f>
        <v>3.4665519302278631</v>
      </c>
      <c r="H9" s="410">
        <f>+'GAS '!H90</f>
        <v>3.4279797954465425</v>
      </c>
      <c r="I9" s="410">
        <f>+'GAS '!I90</f>
        <v>3.2169274378710173</v>
      </c>
      <c r="J9" s="410">
        <f>+'GAS '!J90</f>
        <v>2.9747450549768217</v>
      </c>
      <c r="K9" s="410">
        <f>+'GAS '!K90</f>
        <v>3.0372857733056335</v>
      </c>
      <c r="L9" s="410">
        <f>+'GAS '!L90</f>
        <v>2.420218121312963</v>
      </c>
      <c r="M9" s="410">
        <f>+'GAS '!M90</f>
        <v>2.1815510236850906</v>
      </c>
      <c r="N9" s="410">
        <f>+'GAS '!N90</f>
        <v>2.4472560019512875</v>
      </c>
      <c r="O9" s="187">
        <f>+'FT GAS'!X117</f>
        <v>2.9892577861783929</v>
      </c>
      <c r="P9" s="187">
        <f>+'FT GAS'!Y117</f>
        <v>3.2440822721337863</v>
      </c>
      <c r="Q9" s="187">
        <f>+'FT GAS'!Z117</f>
        <v>3.2846288069607645</v>
      </c>
      <c r="R9" s="187">
        <f>+'FT GAS'!AA117</f>
        <v>3.3032752753814951</v>
      </c>
      <c r="S9" s="187">
        <f>+'FT GAS'!AB117</f>
        <v>3.3478222599699174</v>
      </c>
      <c r="T9" s="187">
        <f>+'FT GAS'!AC117</f>
        <v>3.5837455895852415</v>
      </c>
      <c r="U9" s="187">
        <f>+'FT GAS'!AD117</f>
        <v>3.7059385731649161</v>
      </c>
      <c r="V9" s="187">
        <f>+'FT GAS'!AE117</f>
        <v>3.724230827295854</v>
      </c>
      <c r="W9" s="187">
        <f>+'FT GAS'!AF117</f>
        <v>3.6948327150592175</v>
      </c>
      <c r="X9" s="187">
        <f>+'FT GAS'!AG117</f>
        <v>3.6263433802357543</v>
      </c>
      <c r="Y9" s="187">
        <f>+'FT GAS'!AH117</f>
        <v>3.4295192008728161</v>
      </c>
      <c r="Z9" s="187">
        <f>+'FT GAS'!AI117</f>
        <v>3.4497212045698173</v>
      </c>
      <c r="AA9" s="187">
        <f>+'FT GAS'!AO117</f>
        <v>3.6040000000000001</v>
      </c>
      <c r="AB9" s="187">
        <f>+'FT GAS'!AP117</f>
        <v>3.6269999999999998</v>
      </c>
      <c r="AC9" s="187">
        <f>+'FT GAS'!AQ117</f>
        <v>3.6320000000000001</v>
      </c>
      <c r="AD9" s="187">
        <f>+'FT GAS'!AR117</f>
        <v>3.6659999999999999</v>
      </c>
      <c r="AE9" s="187">
        <f>+'FT GAS'!AS117</f>
        <v>3.78</v>
      </c>
      <c r="AF9" s="187">
        <f>+'FT GAS'!AT117</f>
        <v>3.9860000000000007</v>
      </c>
      <c r="AG9" s="187">
        <f>+'FT GAS'!AU117</f>
        <v>4.0979999999999999</v>
      </c>
      <c r="AH9" s="187">
        <f>+'FT GAS'!AV117</f>
        <v>4.077</v>
      </c>
      <c r="AI9" s="187">
        <f>+'FT GAS'!AW117</f>
        <v>4.0060000000000002</v>
      </c>
      <c r="AJ9" s="187">
        <f>+'FT GAS'!AX117</f>
        <v>3.8540000000000001</v>
      </c>
      <c r="AK9" s="187">
        <f>+'FT GAS'!AY117</f>
        <v>3.8710000000000004</v>
      </c>
      <c r="AL9" s="187">
        <f>+'FT GAS'!AZ117</f>
        <v>3.8959999999999995</v>
      </c>
    </row>
    <row r="10" spans="1:256">
      <c r="A10" s="1" t="s">
        <v>58</v>
      </c>
      <c r="B10" s="25"/>
      <c r="C10" s="25">
        <f t="shared" ref="C10:K10" si="5">+C8*C9</f>
        <v>1539261.2127155855</v>
      </c>
      <c r="D10" s="25">
        <f t="shared" si="5"/>
        <v>1269086.8907040933</v>
      </c>
      <c r="E10" s="25">
        <f t="shared" si="5"/>
        <v>780549.00796954427</v>
      </c>
      <c r="F10" s="25">
        <f t="shared" si="5"/>
        <v>253180.43276580001</v>
      </c>
      <c r="G10" s="25">
        <f t="shared" si="5"/>
        <v>435537.58451382874</v>
      </c>
      <c r="H10" s="25">
        <f t="shared" si="5"/>
        <v>176074.75421331622</v>
      </c>
      <c r="I10" s="25">
        <f t="shared" si="5"/>
        <v>80567.947681479622</v>
      </c>
      <c r="J10" s="25">
        <f t="shared" si="5"/>
        <v>75528.776945861508</v>
      </c>
      <c r="K10" s="25">
        <f t="shared" si="5"/>
        <v>114071.34178803967</v>
      </c>
      <c r="L10" s="25">
        <f t="shared" ref="L10:R10" si="6">+L8*L9</f>
        <v>600247.97713931324</v>
      </c>
      <c r="M10" s="25">
        <f t="shared" si="6"/>
        <v>620489.83146265557</v>
      </c>
      <c r="N10" s="25">
        <f t="shared" si="6"/>
        <v>705512.09103453078</v>
      </c>
      <c r="O10" s="25">
        <f t="shared" si="6"/>
        <v>989420.17402213567</v>
      </c>
      <c r="P10" s="25">
        <f t="shared" si="6"/>
        <v>1163245.4382158183</v>
      </c>
      <c r="Q10" s="25">
        <f t="shared" si="6"/>
        <v>724790.3968688352</v>
      </c>
      <c r="R10" s="25">
        <f t="shared" si="6"/>
        <v>364452.47522901662</v>
      </c>
      <c r="X10" s="25">
        <f t="shared" ref="X10:AD10" si="7">+X8*X9</f>
        <v>900217.76850264182</v>
      </c>
      <c r="Y10" s="25">
        <f t="shared" si="7"/>
        <v>1229738.4070549058</v>
      </c>
      <c r="Z10" s="25">
        <f t="shared" si="7"/>
        <v>1236982.3320457165</v>
      </c>
      <c r="AA10" s="25">
        <f t="shared" si="7"/>
        <v>1192894.87968</v>
      </c>
      <c r="AB10" s="25">
        <f t="shared" si="7"/>
        <v>1300550.0016600001</v>
      </c>
      <c r="AC10" s="25">
        <f t="shared" si="7"/>
        <v>801441.76896000002</v>
      </c>
      <c r="AD10" s="25">
        <f t="shared" si="7"/>
        <v>404472.12624000001</v>
      </c>
      <c r="AJ10" s="25">
        <f>+AJ8*AJ9</f>
        <v>956732.14476000005</v>
      </c>
      <c r="AK10" s="25">
        <f>+AK8*AK9</f>
        <v>1388042.1991800002</v>
      </c>
      <c r="AL10" s="25">
        <f>+AL8*AL9</f>
        <v>1397006.5636799999</v>
      </c>
    </row>
    <row r="11" spans="1:256" s="138" customFormat="1">
      <c r="A11" s="138" t="s">
        <v>194</v>
      </c>
      <c r="H11" s="150">
        <v>-0.21</v>
      </c>
      <c r="I11" s="150">
        <v>-0.23</v>
      </c>
      <c r="J11" s="150">
        <v>-0.19</v>
      </c>
      <c r="K11" s="150">
        <v>-0.1</v>
      </c>
      <c r="L11" s="150">
        <v>-0.1</v>
      </c>
      <c r="T11" s="150">
        <v>-0.21</v>
      </c>
      <c r="U11" s="150">
        <v>-0.23</v>
      </c>
      <c r="V11" s="150">
        <v>-0.19</v>
      </c>
      <c r="W11" s="150">
        <v>-0.1</v>
      </c>
      <c r="AF11" s="150">
        <v>-0.21</v>
      </c>
      <c r="AG11" s="150">
        <v>-0.23</v>
      </c>
      <c r="AH11" s="150">
        <v>-0.19</v>
      </c>
      <c r="AI11" s="150">
        <v>-0.1</v>
      </c>
    </row>
    <row r="12" spans="1:256" s="138" customFormat="1">
      <c r="A12" s="138" t="s">
        <v>344</v>
      </c>
      <c r="H12" s="108">
        <f>H11*$D$1</f>
        <v>-579235.86</v>
      </c>
      <c r="I12" s="108">
        <f>I11*$D$1</f>
        <v>-634401.18000000005</v>
      </c>
      <c r="J12" s="108">
        <f>J11*$D$1</f>
        <v>-524070.54</v>
      </c>
      <c r="K12" s="108">
        <f>K11*$D$1</f>
        <v>-275826.60000000003</v>
      </c>
      <c r="T12" s="107">
        <f>T11*$P$1</f>
        <v>-579235.86</v>
      </c>
      <c r="U12" s="107">
        <f>U11*$P$1</f>
        <v>-634401.18000000005</v>
      </c>
      <c r="V12" s="107">
        <f>V11*$P$1</f>
        <v>-524070.54</v>
      </c>
      <c r="W12" s="107">
        <f>W11*$P$1</f>
        <v>-275826.60000000003</v>
      </c>
      <c r="AF12" s="107">
        <f>AF11*$AB$1</f>
        <v>-579235.86</v>
      </c>
      <c r="AG12" s="107">
        <f>AG11*$AB$1</f>
        <v>-634401.18000000005</v>
      </c>
      <c r="AH12" s="107">
        <f>AH11*$AB$1</f>
        <v>-524070.54</v>
      </c>
      <c r="AI12" s="107">
        <f>AI11*$AB$1</f>
        <v>-275826.60000000003</v>
      </c>
    </row>
    <row r="13" spans="1:256" s="288" customFormat="1">
      <c r="A13" s="139" t="s">
        <v>195</v>
      </c>
      <c r="D13" s="194"/>
      <c r="E13" s="194"/>
      <c r="F13" s="399"/>
      <c r="G13" s="413">
        <v>-119670</v>
      </c>
      <c r="H13" s="413">
        <v>-367729</v>
      </c>
      <c r="I13" s="413">
        <v>-748251</v>
      </c>
      <c r="J13" s="413">
        <v>-448909</v>
      </c>
      <c r="K13" s="413">
        <v>-261645</v>
      </c>
      <c r="L13" s="413">
        <v>-48957</v>
      </c>
      <c r="N13" s="413">
        <f>-1327</f>
        <v>-1327</v>
      </c>
      <c r="T13" s="194">
        <f>T12</f>
        <v>-579235.86</v>
      </c>
      <c r="U13" s="194">
        <f>U12</f>
        <v>-634401.18000000005</v>
      </c>
      <c r="V13" s="194">
        <f>V12</f>
        <v>-524070.54</v>
      </c>
      <c r="W13" s="194">
        <f>W12</f>
        <v>-275826.60000000003</v>
      </c>
      <c r="AF13" s="194">
        <f>AF12</f>
        <v>-579235.86</v>
      </c>
      <c r="AG13" s="194">
        <f>AG12</f>
        <v>-634401.18000000005</v>
      </c>
      <c r="AH13" s="194">
        <f>AH12</f>
        <v>-524070.54</v>
      </c>
      <c r="AI13" s="194">
        <f>AI12</f>
        <v>-275826.60000000003</v>
      </c>
    </row>
    <row r="14" spans="1:256">
      <c r="A14" s="1" t="s">
        <v>59</v>
      </c>
      <c r="E14" s="20"/>
      <c r="F14" s="20">
        <f t="shared" ref="F14:L14" si="8">+E23</f>
        <v>4.378374409558468</v>
      </c>
      <c r="G14" s="20">
        <f t="shared" si="8"/>
        <v>4.3613054684859085</v>
      </c>
      <c r="H14" s="20">
        <f t="shared" si="8"/>
        <v>4.3180513719680178</v>
      </c>
      <c r="I14" s="20">
        <f t="shared" si="8"/>
        <v>4.2980228098773834</v>
      </c>
      <c r="J14" s="20">
        <f t="shared" si="8"/>
        <v>4.280659878118378</v>
      </c>
      <c r="K14" s="20">
        <f t="shared" si="8"/>
        <v>4.251469575336027</v>
      </c>
      <c r="L14" s="20">
        <f t="shared" si="8"/>
        <v>4.2014578941036032</v>
      </c>
      <c r="T14" s="20">
        <f>+S23</f>
        <v>3.2534263837917972</v>
      </c>
      <c r="U14" s="20">
        <f>+T23</f>
        <v>3.2534263837917972</v>
      </c>
      <c r="V14" s="20">
        <f>+U23</f>
        <v>3.2534263837917976</v>
      </c>
      <c r="W14" s="20">
        <f>+V23</f>
        <v>3.2534263837917976</v>
      </c>
      <c r="AF14" s="20">
        <f>+AE23</f>
        <v>3.4796315021342603</v>
      </c>
      <c r="AG14" s="20">
        <f>+AF23</f>
        <v>3.4796315021342603</v>
      </c>
      <c r="AH14" s="20">
        <f>+AG23</f>
        <v>3.4796315021342608</v>
      </c>
      <c r="AI14" s="20">
        <f>+AH23</f>
        <v>3.4796315021342612</v>
      </c>
    </row>
    <row r="15" spans="1:256">
      <c r="A15" s="1" t="s">
        <v>60</v>
      </c>
      <c r="E15" s="30"/>
      <c r="F15" s="30">
        <f t="shared" ref="F15:L15" si="9">F13*F14</f>
        <v>0</v>
      </c>
      <c r="G15" s="30">
        <f t="shared" si="9"/>
        <v>-521917.42541370867</v>
      </c>
      <c r="H15" s="30">
        <f t="shared" si="9"/>
        <v>-1587872.7129624272</v>
      </c>
      <c r="I15" s="30">
        <f t="shared" si="9"/>
        <v>-3215999.8655135622</v>
      </c>
      <c r="J15" s="30">
        <f t="shared" si="9"/>
        <v>-1921626.745226243</v>
      </c>
      <c r="K15" s="30">
        <f t="shared" si="9"/>
        <v>-1112375.7570387947</v>
      </c>
      <c r="L15" s="30">
        <f t="shared" si="9"/>
        <v>-205690.77412163009</v>
      </c>
      <c r="T15" s="30">
        <f>T13*T14</f>
        <v>-1884501.2293623316</v>
      </c>
      <c r="U15" s="30">
        <f>U13*U14</f>
        <v>-2063977.5369206492</v>
      </c>
      <c r="V15" s="30">
        <f>V13*V14</f>
        <v>-1705024.9218040146</v>
      </c>
      <c r="W15" s="30">
        <f>W13*W14</f>
        <v>-897381.53779158671</v>
      </c>
      <c r="AF15" s="30">
        <f>AF13*AF14</f>
        <v>-2015527.3456218301</v>
      </c>
      <c r="AG15" s="30">
        <f>AG13*AG14</f>
        <v>-2207482.3309191475</v>
      </c>
      <c r="AH15" s="30">
        <f>AH13*AH14</f>
        <v>-1823572.3603245132</v>
      </c>
      <c r="AI15" s="30">
        <f>AI13*AI14</f>
        <v>-959774.9264865861</v>
      </c>
    </row>
    <row r="16" spans="1:256">
      <c r="A16" s="1" t="s">
        <v>161</v>
      </c>
      <c r="G16" s="30"/>
      <c r="H16" s="30"/>
      <c r="I16" s="30"/>
      <c r="J16" s="30"/>
      <c r="K16" s="30"/>
    </row>
    <row r="17" spans="1:38">
      <c r="A17" s="1" t="s">
        <v>162</v>
      </c>
      <c r="G17" s="30"/>
      <c r="H17" s="30"/>
      <c r="I17" s="30"/>
      <c r="J17" s="30"/>
      <c r="K17" s="30"/>
    </row>
    <row r="18" spans="1:38">
      <c r="A18" s="1" t="s">
        <v>160</v>
      </c>
      <c r="G18" s="30"/>
      <c r="H18" s="30"/>
      <c r="I18" s="30"/>
      <c r="J18" s="30"/>
      <c r="K18" s="30"/>
    </row>
    <row r="19" spans="1:38">
      <c r="A19" s="1" t="s">
        <v>347</v>
      </c>
      <c r="B19" s="124">
        <f>B21/D1</f>
        <v>0.60052656270279947</v>
      </c>
      <c r="C19" s="124">
        <f t="shared" ref="C19:N19" si="10">C21/$D$1</f>
        <v>0.73262803514961938</v>
      </c>
      <c r="D19" s="124">
        <f t="shared" si="10"/>
        <v>0.84128253040134637</v>
      </c>
      <c r="E19" s="124">
        <f t="shared" si="10"/>
        <v>0.91546029280714769</v>
      </c>
      <c r="F19" s="134">
        <f t="shared" si="10"/>
        <v>0.94008953451189992</v>
      </c>
      <c r="G19" s="124">
        <f t="shared" si="10"/>
        <v>0.94225393780005262</v>
      </c>
      <c r="H19" s="124">
        <f t="shared" si="10"/>
        <v>0.82755687812560497</v>
      </c>
      <c r="I19" s="124">
        <f t="shared" si="10"/>
        <v>0.56536099128945505</v>
      </c>
      <c r="J19" s="124">
        <f t="shared" si="10"/>
        <v>0.41181561169227332</v>
      </c>
      <c r="K19" s="134">
        <f t="shared" si="10"/>
        <v>0.3305732659576705</v>
      </c>
      <c r="L19" s="124">
        <f t="shared" si="10"/>
        <v>0.40274070738645223</v>
      </c>
      <c r="M19" s="124">
        <f t="shared" si="10"/>
        <v>0.50585839074258976</v>
      </c>
      <c r="N19" s="124">
        <f t="shared" si="10"/>
        <v>0.60989476721969527</v>
      </c>
      <c r="O19" s="124">
        <f>O21/$P$1</f>
        <v>0.72989476721969526</v>
      </c>
      <c r="P19" s="124">
        <f t="shared" ref="P19:Z19" si="11">P21/$P$1</f>
        <v>0.85989476721969527</v>
      </c>
      <c r="Q19" s="124">
        <f t="shared" si="11"/>
        <v>0.93989476721969523</v>
      </c>
      <c r="R19" s="134">
        <f t="shared" si="11"/>
        <v>0.97989476721969526</v>
      </c>
      <c r="S19" s="124">
        <f t="shared" si="11"/>
        <v>0.97989476721969526</v>
      </c>
      <c r="T19" s="124">
        <f t="shared" si="11"/>
        <v>0.7698947672196953</v>
      </c>
      <c r="U19" s="124">
        <f t="shared" si="11"/>
        <v>0.5398947672196952</v>
      </c>
      <c r="V19" s="124">
        <f t="shared" si="11"/>
        <v>0.3498947672196952</v>
      </c>
      <c r="W19" s="134">
        <f t="shared" si="11"/>
        <v>0.2498947672196952</v>
      </c>
      <c r="X19" s="124">
        <f t="shared" si="11"/>
        <v>0.33989476721969514</v>
      </c>
      <c r="Y19" s="124">
        <f t="shared" si="11"/>
        <v>0.4698947672196952</v>
      </c>
      <c r="Z19" s="124">
        <f t="shared" si="11"/>
        <v>0.59989476721969526</v>
      </c>
      <c r="AA19" s="124">
        <f>AA21/$AB$1</f>
        <v>0.71989476721969514</v>
      </c>
      <c r="AB19" s="124">
        <f t="shared" ref="AB19:AL19" si="12">AB21/$AB$1</f>
        <v>0.84989476721969526</v>
      </c>
      <c r="AC19" s="124">
        <f t="shared" si="12"/>
        <v>0.92989476721969511</v>
      </c>
      <c r="AD19" s="134">
        <f t="shared" si="12"/>
        <v>0.96989476721969514</v>
      </c>
      <c r="AE19" s="124">
        <f t="shared" si="12"/>
        <v>0.96989476721969514</v>
      </c>
      <c r="AF19" s="124">
        <f t="shared" si="12"/>
        <v>0.75989476721969529</v>
      </c>
      <c r="AG19" s="124">
        <f t="shared" si="12"/>
        <v>0.5298947672196952</v>
      </c>
      <c r="AH19" s="124">
        <f t="shared" si="12"/>
        <v>0.33989476721969514</v>
      </c>
      <c r="AI19" s="134">
        <f t="shared" si="12"/>
        <v>0.23989476721969513</v>
      </c>
      <c r="AJ19" s="124">
        <f t="shared" si="12"/>
        <v>0.32989476721969513</v>
      </c>
      <c r="AK19" s="124">
        <f t="shared" si="12"/>
        <v>0.45989476721969513</v>
      </c>
      <c r="AL19" s="124">
        <f t="shared" si="12"/>
        <v>0.58989476721969514</v>
      </c>
    </row>
    <row r="20" spans="1:38" s="103" customFormat="1">
      <c r="A20" s="103" t="s">
        <v>274</v>
      </c>
      <c r="B20" s="124">
        <v>0.6</v>
      </c>
      <c r="C20" s="124"/>
      <c r="D20" s="124">
        <v>0.85</v>
      </c>
      <c r="E20" s="124"/>
      <c r="F20" s="140"/>
      <c r="G20" s="124"/>
      <c r="H20" s="124"/>
      <c r="I20" s="124">
        <v>0.65</v>
      </c>
      <c r="J20" s="124"/>
      <c r="K20" s="128">
        <v>0.25</v>
      </c>
      <c r="L20" s="124"/>
      <c r="M20" s="124"/>
      <c r="N20" s="124">
        <v>0.6</v>
      </c>
      <c r="O20" s="124"/>
      <c r="P20" s="124">
        <v>0.85</v>
      </c>
      <c r="Q20" s="124"/>
      <c r="R20" s="124"/>
      <c r="S20" s="124"/>
      <c r="T20" s="124"/>
      <c r="U20" s="124">
        <v>0.65</v>
      </c>
      <c r="V20" s="124"/>
      <c r="W20" s="124">
        <v>0.25</v>
      </c>
      <c r="Z20" s="124">
        <v>0.6</v>
      </c>
      <c r="AB20" s="124">
        <v>0.85</v>
      </c>
      <c r="AG20" s="124">
        <v>0.65</v>
      </c>
      <c r="AI20" s="124">
        <v>0.25</v>
      </c>
      <c r="AL20" s="124">
        <v>0.6</v>
      </c>
    </row>
    <row r="21" spans="1:38" s="381" customFormat="1">
      <c r="A21" s="381" t="s">
        <v>345</v>
      </c>
      <c r="B21" s="132">
        <v>1656412</v>
      </c>
      <c r="C21" s="394">
        <f t="shared" ref="C21:AL21" si="13">+B21+C8+C13</f>
        <v>2020783</v>
      </c>
      <c r="D21" s="394">
        <f t="shared" si="13"/>
        <v>2320481</v>
      </c>
      <c r="E21" s="394">
        <f t="shared" si="13"/>
        <v>2525083</v>
      </c>
      <c r="F21" s="394">
        <f t="shared" si="13"/>
        <v>2593017</v>
      </c>
      <c r="G21" s="394">
        <f t="shared" si="13"/>
        <v>2598987</v>
      </c>
      <c r="H21" s="394">
        <f t="shared" si="13"/>
        <v>2282622</v>
      </c>
      <c r="I21" s="394">
        <f t="shared" si="13"/>
        <v>1559416</v>
      </c>
      <c r="J21" s="394">
        <f t="shared" si="13"/>
        <v>1135897</v>
      </c>
      <c r="K21" s="394">
        <f t="shared" si="13"/>
        <v>911809</v>
      </c>
      <c r="L21" s="394">
        <f t="shared" si="13"/>
        <v>1110866</v>
      </c>
      <c r="M21" s="394">
        <f t="shared" si="13"/>
        <v>1395292</v>
      </c>
      <c r="N21" s="394">
        <f t="shared" si="13"/>
        <v>1682252</v>
      </c>
      <c r="O21" s="193">
        <f t="shared" si="13"/>
        <v>2013243.92</v>
      </c>
      <c r="P21" s="193">
        <f t="shared" si="13"/>
        <v>2371818.5</v>
      </c>
      <c r="Q21" s="193">
        <f t="shared" si="13"/>
        <v>2592479.7799999998</v>
      </c>
      <c r="R21" s="193">
        <f t="shared" si="13"/>
        <v>2702810.42</v>
      </c>
      <c r="S21" s="193">
        <f t="shared" si="13"/>
        <v>2702810.42</v>
      </c>
      <c r="T21" s="193">
        <f t="shared" si="13"/>
        <v>2123574.56</v>
      </c>
      <c r="U21" s="193">
        <f t="shared" si="13"/>
        <v>1489173.38</v>
      </c>
      <c r="V21" s="193">
        <f t="shared" si="13"/>
        <v>965102.83999999985</v>
      </c>
      <c r="W21" s="193">
        <f t="shared" si="13"/>
        <v>689276.23999999976</v>
      </c>
      <c r="X21" s="193">
        <f t="shared" si="13"/>
        <v>937520.1799999997</v>
      </c>
      <c r="Y21" s="193">
        <f t="shared" si="13"/>
        <v>1296094.7599999998</v>
      </c>
      <c r="Z21" s="193">
        <f t="shared" si="13"/>
        <v>1654669.3399999999</v>
      </c>
      <c r="AA21" s="193">
        <f t="shared" si="13"/>
        <v>1985661.2599999998</v>
      </c>
      <c r="AB21" s="193">
        <f t="shared" si="13"/>
        <v>2344235.84</v>
      </c>
      <c r="AC21" s="193">
        <f t="shared" si="13"/>
        <v>2564897.1199999996</v>
      </c>
      <c r="AD21" s="193">
        <f t="shared" si="13"/>
        <v>2675227.7599999998</v>
      </c>
      <c r="AE21" s="193">
        <f t="shared" si="13"/>
        <v>2675227.7599999998</v>
      </c>
      <c r="AF21" s="193">
        <f t="shared" si="13"/>
        <v>2095991.9</v>
      </c>
      <c r="AG21" s="193">
        <f t="shared" si="13"/>
        <v>1461590.7199999997</v>
      </c>
      <c r="AH21" s="193">
        <f t="shared" si="13"/>
        <v>937520.1799999997</v>
      </c>
      <c r="AI21" s="193">
        <f t="shared" si="13"/>
        <v>661693.57999999961</v>
      </c>
      <c r="AJ21" s="193">
        <f t="shared" si="13"/>
        <v>909937.51999999955</v>
      </c>
      <c r="AK21" s="193">
        <f t="shared" si="13"/>
        <v>1268512.0999999996</v>
      </c>
      <c r="AL21" s="193">
        <f t="shared" si="13"/>
        <v>1627086.6799999997</v>
      </c>
    </row>
    <row r="22" spans="1:38" s="381" customFormat="1">
      <c r="A22" s="381" t="s">
        <v>346</v>
      </c>
      <c r="B22" s="382">
        <v>7466861.6778219016</v>
      </c>
      <c r="C22" s="411">
        <f t="shared" ref="C22:AL22" si="14">+B22+C10+C15</f>
        <v>9006122.8905374873</v>
      </c>
      <c r="D22" s="411">
        <f t="shared" si="14"/>
        <v>10275209.781241581</v>
      </c>
      <c r="E22" s="411">
        <f t="shared" si="14"/>
        <v>11055758.789211124</v>
      </c>
      <c r="F22" s="411">
        <f t="shared" si="14"/>
        <v>11308939.221976925</v>
      </c>
      <c r="G22" s="411">
        <f t="shared" si="14"/>
        <v>11222559.381077044</v>
      </c>
      <c r="H22" s="411">
        <f t="shared" si="14"/>
        <v>9810761.422327932</v>
      </c>
      <c r="I22" s="411">
        <f t="shared" si="14"/>
        <v>6675329.5044958489</v>
      </c>
      <c r="J22" s="411">
        <f t="shared" si="14"/>
        <v>4829231.5362154674</v>
      </c>
      <c r="K22" s="411">
        <f t="shared" si="14"/>
        <v>3830927.1209647125</v>
      </c>
      <c r="L22" s="411">
        <f t="shared" si="14"/>
        <v>4225484.3239823962</v>
      </c>
      <c r="M22" s="411">
        <f t="shared" si="14"/>
        <v>4845974.1554450514</v>
      </c>
      <c r="N22" s="411">
        <f t="shared" si="14"/>
        <v>5551486.246479582</v>
      </c>
      <c r="O22" s="349">
        <f t="shared" si="14"/>
        <v>6540906.4205017174</v>
      </c>
      <c r="P22" s="349">
        <f t="shared" si="14"/>
        <v>7704151.8587175356</v>
      </c>
      <c r="Q22" s="349">
        <f t="shared" si="14"/>
        <v>8428942.2555863708</v>
      </c>
      <c r="R22" s="349">
        <f t="shared" si="14"/>
        <v>8793394.7308153883</v>
      </c>
      <c r="S22" s="349">
        <f t="shared" si="14"/>
        <v>8793394.7308153883</v>
      </c>
      <c r="T22" s="349">
        <f t="shared" si="14"/>
        <v>6908893.5014530569</v>
      </c>
      <c r="U22" s="349">
        <f t="shared" si="14"/>
        <v>4844915.9645324079</v>
      </c>
      <c r="V22" s="349">
        <f t="shared" si="14"/>
        <v>3139891.0427283933</v>
      </c>
      <c r="W22" s="349">
        <f t="shared" si="14"/>
        <v>2242509.5049368069</v>
      </c>
      <c r="X22" s="349">
        <f t="shared" si="14"/>
        <v>3142727.2734394488</v>
      </c>
      <c r="Y22" s="349">
        <f t="shared" si="14"/>
        <v>4372465.680494355</v>
      </c>
      <c r="Z22" s="349">
        <f t="shared" si="14"/>
        <v>5609448.0125400713</v>
      </c>
      <c r="AA22" s="349">
        <f t="shared" si="14"/>
        <v>6802342.8922200715</v>
      </c>
      <c r="AB22" s="349">
        <f t="shared" si="14"/>
        <v>8102892.8938800711</v>
      </c>
      <c r="AC22" s="349">
        <f t="shared" si="14"/>
        <v>8904334.6628400721</v>
      </c>
      <c r="AD22" s="349">
        <f t="shared" si="14"/>
        <v>9308806.7890800722</v>
      </c>
      <c r="AE22" s="349">
        <f t="shared" si="14"/>
        <v>9308806.7890800722</v>
      </c>
      <c r="AF22" s="349">
        <f t="shared" si="14"/>
        <v>7293279.4434582423</v>
      </c>
      <c r="AG22" s="349">
        <f t="shared" si="14"/>
        <v>5085797.1125390949</v>
      </c>
      <c r="AH22" s="349">
        <f t="shared" si="14"/>
        <v>3262224.7522145817</v>
      </c>
      <c r="AI22" s="349">
        <f t="shared" si="14"/>
        <v>2302449.8257279955</v>
      </c>
      <c r="AJ22" s="349">
        <f t="shared" si="14"/>
        <v>3259181.9704879955</v>
      </c>
      <c r="AK22" s="349">
        <f t="shared" si="14"/>
        <v>4647224.1696679955</v>
      </c>
      <c r="AL22" s="349">
        <f t="shared" si="14"/>
        <v>6044230.7333479952</v>
      </c>
    </row>
    <row r="23" spans="1:38">
      <c r="A23" s="1" t="s">
        <v>61</v>
      </c>
      <c r="B23" s="20">
        <f>B22/B21</f>
        <v>4.5078529241649434</v>
      </c>
      <c r="C23" s="20">
        <f t="shared" ref="C23:O23" si="15">+C22/C21</f>
        <v>4.4567491366156027</v>
      </c>
      <c r="D23" s="20">
        <f t="shared" si="15"/>
        <v>4.4280516760281943</v>
      </c>
      <c r="E23" s="20">
        <f t="shared" si="15"/>
        <v>4.378374409558468</v>
      </c>
      <c r="F23" s="135">
        <f t="shared" si="15"/>
        <v>4.3613054684859085</v>
      </c>
      <c r="G23" s="20">
        <f t="shared" si="15"/>
        <v>4.3180513719680178</v>
      </c>
      <c r="H23" s="20">
        <f t="shared" si="15"/>
        <v>4.2980228098773834</v>
      </c>
      <c r="I23" s="20">
        <f t="shared" si="15"/>
        <v>4.280659878118378</v>
      </c>
      <c r="J23" s="20">
        <f t="shared" si="15"/>
        <v>4.251469575336027</v>
      </c>
      <c r="K23" s="20">
        <f t="shared" si="15"/>
        <v>4.2014578941036032</v>
      </c>
      <c r="L23" s="21">
        <f t="shared" si="15"/>
        <v>3.8037750043501162</v>
      </c>
      <c r="M23" s="20">
        <f t="shared" si="15"/>
        <v>3.4730896152526149</v>
      </c>
      <c r="N23" s="20">
        <f t="shared" si="15"/>
        <v>3.3000324841222253</v>
      </c>
      <c r="O23" s="20">
        <f t="shared" si="15"/>
        <v>3.2489388670309345</v>
      </c>
      <c r="P23" s="20">
        <f t="shared" ref="P23:AA23" si="16">+P22/P21</f>
        <v>3.2482046407503509</v>
      </c>
      <c r="Q23" s="20">
        <f t="shared" si="16"/>
        <v>3.2513049168647217</v>
      </c>
      <c r="R23" s="135">
        <f t="shared" si="16"/>
        <v>3.2534263837917972</v>
      </c>
      <c r="S23" s="20">
        <f t="shared" si="16"/>
        <v>3.2534263837917972</v>
      </c>
      <c r="T23" s="20">
        <f t="shared" si="16"/>
        <v>3.2534263837917972</v>
      </c>
      <c r="U23" s="20">
        <f t="shared" si="16"/>
        <v>3.2534263837917976</v>
      </c>
      <c r="V23" s="20">
        <f t="shared" si="16"/>
        <v>3.2534263837917976</v>
      </c>
      <c r="W23" s="20">
        <f t="shared" si="16"/>
        <v>3.253426383791798</v>
      </c>
      <c r="X23" s="20">
        <f t="shared" si="16"/>
        <v>3.3521702684196621</v>
      </c>
      <c r="Y23" s="20">
        <f t="shared" si="16"/>
        <v>3.3735694452575022</v>
      </c>
      <c r="Z23" s="20">
        <f t="shared" si="16"/>
        <v>3.3900718874382911</v>
      </c>
      <c r="AA23" s="20">
        <f t="shared" si="16"/>
        <v>3.4257317847959992</v>
      </c>
      <c r="AB23" s="20">
        <f t="shared" ref="AB23:AL23" si="17">+AB22/AB21</f>
        <v>3.4565177938240512</v>
      </c>
      <c r="AC23" s="20">
        <f t="shared" si="17"/>
        <v>3.4716147456394171</v>
      </c>
      <c r="AD23" s="135">
        <f t="shared" si="17"/>
        <v>3.4796315021342603</v>
      </c>
      <c r="AE23" s="20">
        <f t="shared" si="17"/>
        <v>3.4796315021342603</v>
      </c>
      <c r="AF23" s="20">
        <f t="shared" si="17"/>
        <v>3.4796315021342603</v>
      </c>
      <c r="AG23" s="20">
        <f t="shared" si="17"/>
        <v>3.4796315021342608</v>
      </c>
      <c r="AH23" s="20">
        <f t="shared" si="17"/>
        <v>3.4796315021342612</v>
      </c>
      <c r="AI23" s="20">
        <f t="shared" si="17"/>
        <v>3.4796315021342612</v>
      </c>
      <c r="AJ23" s="20">
        <f t="shared" si="17"/>
        <v>3.5817645704817154</v>
      </c>
      <c r="AK23" s="20">
        <f t="shared" si="17"/>
        <v>3.6635237217429748</v>
      </c>
      <c r="AL23" s="20">
        <f t="shared" si="17"/>
        <v>3.7147564463793632</v>
      </c>
    </row>
    <row r="24" spans="1:38" s="37" customFormat="1">
      <c r="B24" s="21"/>
      <c r="C24" s="21"/>
      <c r="D24" s="21"/>
      <c r="E24" s="21"/>
      <c r="F24" s="180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180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180"/>
      <c r="AE24" s="21"/>
      <c r="AF24" s="21"/>
      <c r="AG24" s="21"/>
      <c r="AH24" s="21"/>
      <c r="AI24" s="21"/>
      <c r="AJ24" s="21"/>
      <c r="AK24" s="21"/>
      <c r="AL24" s="21"/>
    </row>
    <row r="25" spans="1:38" s="229" customFormat="1">
      <c r="A25" s="31" t="s">
        <v>447</v>
      </c>
      <c r="B25" s="132">
        <v>1656412</v>
      </c>
      <c r="C25" s="394">
        <v>2020783</v>
      </c>
      <c r="D25" s="394">
        <v>2320481</v>
      </c>
      <c r="E25" s="394">
        <v>2525083</v>
      </c>
      <c r="F25" s="394">
        <v>2503372</v>
      </c>
      <c r="G25" s="394">
        <v>2509342</v>
      </c>
      <c r="H25" s="394">
        <v>2192977</v>
      </c>
      <c r="I25" s="394">
        <v>1469771</v>
      </c>
      <c r="J25" s="394">
        <v>1046252</v>
      </c>
      <c r="K25" s="394">
        <v>822164</v>
      </c>
      <c r="L25" s="394">
        <v>1021221</v>
      </c>
      <c r="M25" s="394">
        <v>1305647</v>
      </c>
      <c r="N25" s="394">
        <v>1592607</v>
      </c>
      <c r="O25" s="28"/>
      <c r="P25" s="28"/>
      <c r="Q25" s="28"/>
      <c r="R25" s="131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</row>
    <row r="26" spans="1:38" s="37" customFormat="1">
      <c r="A26" s="112" t="s">
        <v>445</v>
      </c>
      <c r="B26" s="382">
        <v>7466861.6778219016</v>
      </c>
      <c r="C26" s="393">
        <v>9080187.1578219011</v>
      </c>
      <c r="D26" s="393">
        <v>10407999.147821901</v>
      </c>
      <c r="E26" s="393">
        <v>11218386.747821901</v>
      </c>
      <c r="F26" s="393">
        <v>11083614.345296221</v>
      </c>
      <c r="G26" s="393">
        <v>11009301.874190779</v>
      </c>
      <c r="H26" s="393">
        <v>9579918.5527592506</v>
      </c>
      <c r="I26" s="393">
        <v>6394808.830356475</v>
      </c>
      <c r="J26" s="393">
        <v>4521238.6712379251</v>
      </c>
      <c r="K26" s="393">
        <v>3514019.9399302998</v>
      </c>
      <c r="L26" s="393">
        <v>3937566.4394309721</v>
      </c>
      <c r="M26" s="393">
        <v>4585801.7394309724</v>
      </c>
      <c r="N26" s="393">
        <v>5322855.88451795</v>
      </c>
    </row>
    <row r="27" spans="1:38" s="227" customFormat="1">
      <c r="A27" s="1" t="s">
        <v>446</v>
      </c>
      <c r="B27" s="228">
        <f>B26/B25</f>
        <v>4.5078529241649434</v>
      </c>
      <c r="C27" s="228">
        <f>C26/C25</f>
        <v>4.4934004085653436</v>
      </c>
      <c r="D27" s="228">
        <f>D26/D25</f>
        <v>4.4852766076610413</v>
      </c>
      <c r="E27" s="228">
        <f>E26/E25</f>
        <v>4.442779404804476</v>
      </c>
      <c r="F27" s="228">
        <f>F26/F25</f>
        <v>4.4274739612395688</v>
      </c>
      <c r="G27" s="228">
        <f t="shared" ref="G27:N27" si="18">G26/G25</f>
        <v>4.3873261891726116</v>
      </c>
      <c r="H27" s="228">
        <f t="shared" si="18"/>
        <v>4.3684537287710956</v>
      </c>
      <c r="I27" s="228">
        <f t="shared" si="18"/>
        <v>4.3508878800551072</v>
      </c>
      <c r="J27" s="228">
        <f t="shared" si="18"/>
        <v>4.3213668133852314</v>
      </c>
      <c r="K27" s="228">
        <f t="shared" si="18"/>
        <v>4.2741106882936979</v>
      </c>
      <c r="L27" s="228">
        <f t="shared" si="18"/>
        <v>3.8557437023239554</v>
      </c>
      <c r="M27" s="228">
        <f t="shared" si="18"/>
        <v>3.5122829826369397</v>
      </c>
      <c r="N27" s="228">
        <f t="shared" si="18"/>
        <v>3.3422281105872007</v>
      </c>
    </row>
    <row r="28" spans="1:38" s="196" customFormat="1">
      <c r="A28" s="1"/>
      <c r="B28" s="29"/>
      <c r="C28" s="29"/>
      <c r="D28" s="29"/>
      <c r="E28" s="29"/>
      <c r="F28" s="29"/>
      <c r="G28" s="29"/>
      <c r="H28" s="29"/>
      <c r="I28" s="29"/>
      <c r="J28" s="29"/>
      <c r="K28" s="29"/>
    </row>
    <row r="29" spans="1:38" s="31" customFormat="1">
      <c r="A29" s="31" t="s">
        <v>448</v>
      </c>
      <c r="B29" s="22">
        <f t="shared" ref="B29:C31" si="19">B21-B25</f>
        <v>0</v>
      </c>
      <c r="C29" s="22">
        <f t="shared" si="19"/>
        <v>0</v>
      </c>
      <c r="D29" s="22">
        <f t="shared" ref="D29:J31" si="20">D21-D25</f>
        <v>0</v>
      </c>
      <c r="E29" s="22">
        <f t="shared" si="20"/>
        <v>0</v>
      </c>
      <c r="F29" s="22">
        <f t="shared" si="20"/>
        <v>89645</v>
      </c>
      <c r="G29" s="22">
        <f t="shared" si="20"/>
        <v>89645</v>
      </c>
      <c r="H29" s="22">
        <f t="shared" si="20"/>
        <v>89645</v>
      </c>
      <c r="I29" s="22">
        <f t="shared" si="20"/>
        <v>89645</v>
      </c>
      <c r="J29" s="22">
        <f t="shared" si="20"/>
        <v>89645</v>
      </c>
      <c r="K29" s="22">
        <f t="shared" ref="K29:L29" si="21">K21-K25</f>
        <v>89645</v>
      </c>
      <c r="L29" s="22">
        <f t="shared" si="21"/>
        <v>89645</v>
      </c>
      <c r="M29" s="22">
        <f t="shared" ref="M29:N29" si="22">M21-M25</f>
        <v>89645</v>
      </c>
      <c r="N29" s="22">
        <f t="shared" si="22"/>
        <v>89645</v>
      </c>
    </row>
    <row r="30" spans="1:38" s="110" customFormat="1">
      <c r="A30" s="110" t="s">
        <v>449</v>
      </c>
      <c r="B30" s="30">
        <f t="shared" si="19"/>
        <v>0</v>
      </c>
      <c r="C30" s="30">
        <f t="shared" si="19"/>
        <v>-74064.2672844138</v>
      </c>
      <c r="D30" s="30">
        <f t="shared" si="20"/>
        <v>-132789.36658032052</v>
      </c>
      <c r="E30" s="30">
        <f t="shared" si="20"/>
        <v>-162627.95861077681</v>
      </c>
      <c r="F30" s="30">
        <f t="shared" si="20"/>
        <v>225324.87668070383</v>
      </c>
      <c r="G30" s="30">
        <f t="shared" si="20"/>
        <v>213257.50688626431</v>
      </c>
      <c r="H30" s="30">
        <f t="shared" si="20"/>
        <v>230842.86956868134</v>
      </c>
      <c r="I30" s="30">
        <f t="shared" si="20"/>
        <v>280520.67413937394</v>
      </c>
      <c r="J30" s="30">
        <f t="shared" si="20"/>
        <v>307992.86497754231</v>
      </c>
      <c r="K30" s="30">
        <f t="shared" ref="K30:L30" si="23">K22-K26</f>
        <v>316907.1810344127</v>
      </c>
      <c r="L30" s="30">
        <f t="shared" si="23"/>
        <v>287917.88455142407</v>
      </c>
      <c r="M30" s="30">
        <f t="shared" ref="M30:N30" si="24">M22-M26</f>
        <v>260172.416014079</v>
      </c>
      <c r="N30" s="30">
        <f t="shared" si="24"/>
        <v>228630.36196163204</v>
      </c>
    </row>
    <row r="31" spans="1:38" s="196" customFormat="1">
      <c r="A31" s="196" t="s">
        <v>450</v>
      </c>
      <c r="B31" s="29">
        <f t="shared" si="19"/>
        <v>0</v>
      </c>
      <c r="C31" s="29">
        <f t="shared" si="19"/>
        <v>-3.6651271949740938E-2</v>
      </c>
      <c r="D31" s="29">
        <f t="shared" si="20"/>
        <v>-5.7224931632847031E-2</v>
      </c>
      <c r="E31" s="29">
        <f t="shared" si="20"/>
        <v>-6.4404995246007957E-2</v>
      </c>
      <c r="F31" s="29">
        <f t="shared" si="20"/>
        <v>-6.6168492753660324E-2</v>
      </c>
      <c r="G31" s="29">
        <f t="shared" si="20"/>
        <v>-6.927481720459383E-2</v>
      </c>
      <c r="H31" s="29">
        <f t="shared" si="20"/>
        <v>-7.0430918893712224E-2</v>
      </c>
      <c r="I31" s="29">
        <f t="shared" si="20"/>
        <v>-7.0228001936729179E-2</v>
      </c>
      <c r="J31" s="29">
        <f t="shared" si="20"/>
        <v>-6.9897238049204446E-2</v>
      </c>
      <c r="K31" s="29">
        <f t="shared" ref="K31:L31" si="25">K23-K27</f>
        <v>-7.2652794190094738E-2</v>
      </c>
      <c r="L31" s="29">
        <f t="shared" si="25"/>
        <v>-5.1968697973839184E-2</v>
      </c>
      <c r="M31" s="29">
        <f t="shared" ref="M31:N31" si="26">M23-M27</f>
        <v>-3.9193367384324773E-2</v>
      </c>
      <c r="N31" s="29">
        <f t="shared" si="26"/>
        <v>-4.2195626464975433E-2</v>
      </c>
    </row>
    <row r="32" spans="1:38" s="196" customFormat="1">
      <c r="B32" s="29"/>
      <c r="C32" s="29"/>
      <c r="D32" s="29"/>
      <c r="E32" s="29"/>
      <c r="F32" s="29"/>
      <c r="G32" s="29"/>
      <c r="H32" s="29"/>
      <c r="I32" s="29"/>
      <c r="J32" s="29"/>
      <c r="K32" s="29"/>
    </row>
    <row r="33" spans="1:12" s="31" customFormat="1"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s="31" customFormat="1"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6" spans="1:12">
      <c r="J36" s="22"/>
      <c r="K36" s="22"/>
      <c r="L36" s="22"/>
    </row>
    <row r="37" spans="1:12">
      <c r="J37" s="22"/>
      <c r="K37" s="22"/>
      <c r="L37" s="22"/>
    </row>
    <row r="38" spans="1:12">
      <c r="J38" s="16"/>
      <c r="K38" s="16"/>
      <c r="L38" s="16"/>
    </row>
    <row r="39" spans="1:12">
      <c r="J39" s="29"/>
      <c r="K39" s="29"/>
      <c r="L39" s="29"/>
    </row>
    <row r="46" spans="1:12">
      <c r="A46" s="33"/>
    </row>
  </sheetData>
  <phoneticPr fontId="0" type="noConversion"/>
  <printOptions gridLines="1" gridLinesSet="0"/>
  <pageMargins left="0.75" right="0.75" top="1" bottom="1" header="0.5" footer="0.5"/>
  <pageSetup scale="10" orientation="landscape" horizontalDpi="4294967292" verticalDpi="300" r:id="rId1"/>
  <headerFooter alignWithMargins="0">
    <oddHeader>&amp;A</oddHeader>
    <oddFooter>96BUD.XLW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4">
    <pageSetUpPr fitToPage="1"/>
  </sheetPr>
  <dimension ref="A1:AN31"/>
  <sheetViews>
    <sheetView zoomScale="50" workbookViewId="0">
      <pane xSplit="1" ySplit="4" topLeftCell="H5" activePane="bottomRight" state="frozen"/>
      <selection activeCell="AA2" sqref="AA2"/>
      <selection pane="topRight" activeCell="AA2" sqref="AA2"/>
      <selection pane="bottomLeft" activeCell="AA2" sqref="AA2"/>
      <selection pane="bottomRight" activeCell="N1" sqref="N1"/>
    </sheetView>
  </sheetViews>
  <sheetFormatPr defaultRowHeight="20.25"/>
  <cols>
    <col min="1" max="1" width="41.21875" style="4" bestFit="1" customWidth="1"/>
    <col min="2" max="2" width="15.88671875" style="10" bestFit="1" customWidth="1"/>
    <col min="3" max="4" width="14.33203125" style="10" customWidth="1"/>
    <col min="5" max="5" width="15.88671875" style="10" bestFit="1" customWidth="1"/>
    <col min="6" max="7" width="14.33203125" style="10" bestFit="1" customWidth="1"/>
    <col min="8" max="11" width="15.44140625" style="10" bestFit="1" customWidth="1"/>
    <col min="12" max="19" width="14.33203125" style="10" bestFit="1" customWidth="1"/>
    <col min="20" max="21" width="15.44140625" style="10" bestFit="1" customWidth="1"/>
    <col min="22" max="31" width="14.33203125" style="10" bestFit="1" customWidth="1"/>
    <col min="32" max="33" width="15.44140625" style="10" bestFit="1" customWidth="1"/>
    <col min="34" max="39" width="14.33203125" style="10" bestFit="1" customWidth="1"/>
    <col min="40" max="40" width="10.109375" style="10" bestFit="1" customWidth="1"/>
    <col min="41" max="16384" width="8.88671875" style="10"/>
  </cols>
  <sheetData>
    <row r="1" spans="1:40">
      <c r="C1" s="13" t="s">
        <v>55</v>
      </c>
      <c r="D1" s="28">
        <v>562659</v>
      </c>
      <c r="E1" s="24"/>
      <c r="F1" s="24"/>
      <c r="G1" s="24"/>
      <c r="H1" s="24"/>
      <c r="I1" s="24"/>
      <c r="J1" s="24"/>
      <c r="K1" s="24"/>
      <c r="L1" s="24"/>
      <c r="M1" s="24"/>
      <c r="N1" s="24"/>
      <c r="O1" s="13" t="s">
        <v>55</v>
      </c>
      <c r="P1" s="28">
        <v>562659</v>
      </c>
      <c r="AA1" s="13" t="s">
        <v>55</v>
      </c>
      <c r="AB1" s="28">
        <v>562659</v>
      </c>
      <c r="AM1" s="13" t="s">
        <v>55</v>
      </c>
      <c r="AN1" s="28">
        <v>562659</v>
      </c>
    </row>
    <row r="2" spans="1:40">
      <c r="C2" s="131" t="s">
        <v>751</v>
      </c>
      <c r="D2" s="132">
        <v>1300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131" t="s">
        <v>860</v>
      </c>
      <c r="P2" s="132">
        <v>1500</v>
      </c>
      <c r="AA2" s="131" t="s">
        <v>884</v>
      </c>
      <c r="AB2" s="132">
        <v>1650</v>
      </c>
      <c r="AM2" s="131" t="s">
        <v>908</v>
      </c>
      <c r="AN2" s="132">
        <v>1650</v>
      </c>
    </row>
    <row r="3" spans="1:40" s="22" customFormat="1">
      <c r="A3" s="111" t="s">
        <v>1</v>
      </c>
      <c r="B3" s="22">
        <v>30</v>
      </c>
      <c r="C3" s="28">
        <v>31</v>
      </c>
      <c r="D3" s="28">
        <v>31</v>
      </c>
      <c r="E3" s="28">
        <v>30</v>
      </c>
      <c r="F3" s="28">
        <v>31</v>
      </c>
      <c r="G3" s="28"/>
      <c r="H3" s="28"/>
      <c r="I3" s="28"/>
      <c r="J3" s="28"/>
      <c r="K3" s="28"/>
      <c r="L3" s="28">
        <v>30</v>
      </c>
      <c r="M3" s="28">
        <v>31</v>
      </c>
      <c r="N3" s="28">
        <v>30</v>
      </c>
      <c r="O3" s="28">
        <v>31</v>
      </c>
      <c r="P3" s="28">
        <v>31</v>
      </c>
      <c r="Q3" s="28">
        <v>30</v>
      </c>
      <c r="R3" s="28">
        <v>31</v>
      </c>
      <c r="S3" s="28"/>
      <c r="T3" s="28"/>
      <c r="U3" s="28"/>
      <c r="V3" s="28"/>
      <c r="W3" s="28"/>
      <c r="X3" s="28">
        <v>30</v>
      </c>
      <c r="Y3" s="28">
        <v>31</v>
      </c>
      <c r="Z3" s="28">
        <v>30</v>
      </c>
      <c r="AA3" s="22">
        <v>31</v>
      </c>
      <c r="AB3" s="22">
        <v>31</v>
      </c>
      <c r="AC3" s="22">
        <v>30</v>
      </c>
      <c r="AD3" s="22">
        <v>31</v>
      </c>
      <c r="AJ3" s="22">
        <v>30</v>
      </c>
      <c r="AK3" s="22">
        <v>31</v>
      </c>
      <c r="AL3" s="22">
        <v>30</v>
      </c>
      <c r="AM3" s="22">
        <v>31</v>
      </c>
    </row>
    <row r="4" spans="1:40">
      <c r="B4" s="46">
        <v>40695</v>
      </c>
      <c r="C4" s="46">
        <v>40725</v>
      </c>
      <c r="D4" s="46">
        <v>40756</v>
      </c>
      <c r="E4" s="46">
        <v>40787</v>
      </c>
      <c r="F4" s="46">
        <v>40817</v>
      </c>
      <c r="G4" s="46">
        <v>40848</v>
      </c>
      <c r="H4" s="46">
        <v>40878</v>
      </c>
      <c r="I4" s="46">
        <v>40909</v>
      </c>
      <c r="J4" s="46">
        <v>40940</v>
      </c>
      <c r="K4" s="46">
        <v>40969</v>
      </c>
      <c r="L4" s="46">
        <v>41000</v>
      </c>
      <c r="M4" s="46">
        <v>41030</v>
      </c>
      <c r="N4" s="46">
        <v>41061</v>
      </c>
      <c r="O4" s="46">
        <v>41091</v>
      </c>
      <c r="P4" s="46">
        <v>41122</v>
      </c>
      <c r="Q4" s="46">
        <v>41153</v>
      </c>
      <c r="R4" s="46">
        <v>41183</v>
      </c>
      <c r="S4" s="46">
        <v>41214</v>
      </c>
      <c r="T4" s="46">
        <v>41244</v>
      </c>
      <c r="U4" s="46">
        <v>41275</v>
      </c>
      <c r="V4" s="46">
        <v>41306</v>
      </c>
      <c r="W4" s="46">
        <v>41334</v>
      </c>
      <c r="X4" s="46">
        <v>41365</v>
      </c>
      <c r="Y4" s="46">
        <v>41395</v>
      </c>
      <c r="Z4" s="46">
        <v>41426</v>
      </c>
      <c r="AA4" s="46">
        <v>41456</v>
      </c>
      <c r="AB4" s="46">
        <v>41487</v>
      </c>
      <c r="AC4" s="46">
        <v>41518</v>
      </c>
      <c r="AD4" s="46">
        <v>41548</v>
      </c>
      <c r="AE4" s="46">
        <v>41579</v>
      </c>
      <c r="AF4" s="46">
        <v>41609</v>
      </c>
      <c r="AG4" s="46">
        <v>41640</v>
      </c>
      <c r="AH4" s="46">
        <v>41671</v>
      </c>
      <c r="AI4" s="46">
        <v>41699</v>
      </c>
      <c r="AJ4" s="46">
        <v>41730</v>
      </c>
      <c r="AK4" s="46">
        <v>41760</v>
      </c>
      <c r="AL4" s="46">
        <v>41791</v>
      </c>
      <c r="AM4" s="46">
        <v>41821</v>
      </c>
    </row>
    <row r="5" spans="1:40">
      <c r="A5" s="4" t="s">
        <v>343</v>
      </c>
      <c r="B5" s="46"/>
      <c r="C5" s="28">
        <f>$D$2*C3</f>
        <v>40300</v>
      </c>
      <c r="D5" s="28">
        <f>$D$2*D3</f>
        <v>40300</v>
      </c>
      <c r="E5" s="28">
        <f>$D$2*E3</f>
        <v>39000</v>
      </c>
      <c r="F5" s="28">
        <f>$D$2*F3</f>
        <v>40300</v>
      </c>
      <c r="G5" s="55"/>
      <c r="H5" s="55"/>
      <c r="I5" s="55"/>
      <c r="J5" s="55"/>
      <c r="K5" s="55"/>
      <c r="L5" s="28">
        <f>$P$2*L3</f>
        <v>45000</v>
      </c>
      <c r="M5" s="28">
        <f t="shared" ref="M5:R5" si="0">$P$2*M3</f>
        <v>46500</v>
      </c>
      <c r="N5" s="28">
        <f t="shared" si="0"/>
        <v>45000</v>
      </c>
      <c r="O5" s="28">
        <f t="shared" si="0"/>
        <v>46500</v>
      </c>
      <c r="P5" s="28">
        <f t="shared" si="0"/>
        <v>46500</v>
      </c>
      <c r="Q5" s="28">
        <f t="shared" si="0"/>
        <v>45000</v>
      </c>
      <c r="R5" s="28">
        <f t="shared" si="0"/>
        <v>46500</v>
      </c>
      <c r="S5" s="55"/>
      <c r="T5" s="55"/>
      <c r="U5" s="55"/>
      <c r="V5" s="55"/>
      <c r="W5" s="55"/>
      <c r="X5" s="28">
        <f>$AB$2*X3</f>
        <v>49500</v>
      </c>
      <c r="Y5" s="28">
        <f t="shared" ref="Y5:AD5" si="1">$AB$2*Y3</f>
        <v>51150</v>
      </c>
      <c r="Z5" s="28">
        <f t="shared" si="1"/>
        <v>49500</v>
      </c>
      <c r="AA5" s="28">
        <f t="shared" si="1"/>
        <v>51150</v>
      </c>
      <c r="AB5" s="28">
        <f t="shared" si="1"/>
        <v>51150</v>
      </c>
      <c r="AC5" s="28">
        <f t="shared" si="1"/>
        <v>49500</v>
      </c>
      <c r="AD5" s="28">
        <f t="shared" si="1"/>
        <v>51150</v>
      </c>
      <c r="AE5" s="55"/>
      <c r="AF5" s="55"/>
      <c r="AG5" s="55"/>
      <c r="AH5" s="55"/>
      <c r="AI5" s="55"/>
      <c r="AJ5" s="28">
        <f>$AN$2*AJ3</f>
        <v>49500</v>
      </c>
      <c r="AK5" s="28">
        <f>$AN$2*AK3</f>
        <v>51150</v>
      </c>
      <c r="AL5" s="28">
        <f>$AN$2*AL3</f>
        <v>49500</v>
      </c>
      <c r="AM5" s="28">
        <f>$AN$2*AM3</f>
        <v>51150</v>
      </c>
    </row>
    <row r="6" spans="1:40" s="193" customFormat="1">
      <c r="A6" s="223" t="s">
        <v>193</v>
      </c>
      <c r="C6" s="394">
        <v>93713</v>
      </c>
      <c r="D6" s="394">
        <v>72261</v>
      </c>
      <c r="E6" s="394">
        <v>27873</v>
      </c>
      <c r="F6" s="394">
        <v>61757</v>
      </c>
      <c r="G6" s="394">
        <v>0</v>
      </c>
      <c r="H6" s="394">
        <v>0</v>
      </c>
      <c r="I6" s="394">
        <v>0</v>
      </c>
      <c r="J6" s="394">
        <v>0</v>
      </c>
      <c r="K6" s="394">
        <v>0</v>
      </c>
      <c r="L6" s="394">
        <v>0</v>
      </c>
      <c r="M6" s="394">
        <v>103611</v>
      </c>
      <c r="N6" s="394">
        <v>13917</v>
      </c>
      <c r="O6" s="193">
        <f t="shared" ref="O6:R6" si="2">O5</f>
        <v>46500</v>
      </c>
      <c r="P6" s="193">
        <f t="shared" si="2"/>
        <v>46500</v>
      </c>
      <c r="Q6" s="193">
        <f t="shared" si="2"/>
        <v>45000</v>
      </c>
      <c r="R6" s="193">
        <f t="shared" si="2"/>
        <v>46500</v>
      </c>
      <c r="X6" s="193">
        <f>X5</f>
        <v>49500</v>
      </c>
      <c r="Y6" s="193">
        <f t="shared" ref="Y6:AD6" si="3">Y5</f>
        <v>51150</v>
      </c>
      <c r="Z6" s="193">
        <f t="shared" si="3"/>
        <v>49500</v>
      </c>
      <c r="AA6" s="193">
        <f t="shared" si="3"/>
        <v>51150</v>
      </c>
      <c r="AB6" s="193">
        <f t="shared" si="3"/>
        <v>51150</v>
      </c>
      <c r="AC6" s="193">
        <f t="shared" si="3"/>
        <v>49500</v>
      </c>
      <c r="AD6" s="193">
        <f t="shared" si="3"/>
        <v>51150</v>
      </c>
      <c r="AJ6" s="193">
        <f>AJ5</f>
        <v>49500</v>
      </c>
      <c r="AK6" s="193">
        <f>AK5</f>
        <v>51150</v>
      </c>
      <c r="AL6" s="193">
        <f>AL5</f>
        <v>49500</v>
      </c>
      <c r="AM6" s="193">
        <f>AM5</f>
        <v>51150</v>
      </c>
    </row>
    <row r="7" spans="1:40" s="187" customFormat="1">
      <c r="A7" s="221" t="s">
        <v>57</v>
      </c>
      <c r="C7" s="410">
        <f>+'GAS '!C22</f>
        <v>4.4915885575167378</v>
      </c>
      <c r="D7" s="410">
        <f>+'GAS '!D22</f>
        <v>4.4900414937759336</v>
      </c>
      <c r="E7" s="410">
        <f>+'GAS '!E22</f>
        <v>3.9057568103914857</v>
      </c>
      <c r="F7" s="410">
        <f>+'GAS '!F22</f>
        <v>3.8421414396536169</v>
      </c>
      <c r="G7" s="410">
        <f>+'GAS '!G22</f>
        <v>3.4706060606060607</v>
      </c>
      <c r="H7" s="410">
        <f>+'GAS '!H22</f>
        <v>3.3308080808080809</v>
      </c>
      <c r="I7" s="410">
        <f>+'GAS '!I22</f>
        <v>2.8922792283015499</v>
      </c>
      <c r="J7" s="410">
        <f>+'GAS '!J22</f>
        <v>2.6904040404040406</v>
      </c>
      <c r="K7" s="410">
        <f>+'GAS '!K22</f>
        <v>2.4402020202020203</v>
      </c>
      <c r="L7" s="410">
        <f>+'GAS '!L22</f>
        <v>2.1504060913705585</v>
      </c>
      <c r="M7" s="410">
        <f>+'GAS '!M22</f>
        <v>2.0762549907388346</v>
      </c>
      <c r="N7" s="410">
        <f>+'GAS '!N22</f>
        <v>2.4481426775612816</v>
      </c>
      <c r="O7" s="187">
        <f>SUM('FT GAS'!X109,'FT GAS'!Y111)</f>
        <v>2.7515000000000001</v>
      </c>
      <c r="P7" s="187">
        <f>SUM('FT GAS'!Y109,'FT GAS'!Z111)</f>
        <v>3.0059999999999998</v>
      </c>
      <c r="Q7" s="187">
        <f>SUM('FT GAS'!Z109,'FT GAS'!AA111)</f>
        <v>2.9609999999999999</v>
      </c>
      <c r="R7" s="187">
        <f>SUM('FT GAS'!AA109,'FT GAS'!AB111)</f>
        <v>3.0330000000000004</v>
      </c>
      <c r="S7" s="187">
        <f>SUM('FT GAS'!AB109,'FT GAS'!AC111)</f>
        <v>3.169</v>
      </c>
      <c r="T7" s="187">
        <f>SUM('FT GAS'!AC109,'FT GAS'!AD111)</f>
        <v>3.4010000000000002</v>
      </c>
      <c r="U7" s="187">
        <f>SUM('FT GAS'!AD109,'FT GAS'!AE111)</f>
        <v>3.5310000000000001</v>
      </c>
      <c r="V7" s="187">
        <f>SUM('FT GAS'!AE109,'FT GAS'!AF111)</f>
        <v>3.5370000000000004</v>
      </c>
      <c r="W7" s="187">
        <f>SUM('FT GAS'!AF109,'FT GAS'!AG111)</f>
        <v>3.4725000000000001</v>
      </c>
      <c r="X7" s="187">
        <f>SUM('FT GAS'!AG109,'FT GAS'!AH111)</f>
        <v>3.4345000000000003</v>
      </c>
      <c r="Y7" s="187">
        <f>SUM('FT GAS'!AH109,'FT GAS'!AI111)</f>
        <v>3.4525000000000001</v>
      </c>
      <c r="Z7" s="187">
        <f>SUM('FT GAS'!AI109,'FT GAS'!AO111)</f>
        <v>3.4875000000000003</v>
      </c>
      <c r="AA7" s="187">
        <f>SUM('FT GAS'!AO109,'FT GAS'!AO111)</f>
        <v>3.5315000000000003</v>
      </c>
      <c r="AB7" s="187">
        <f>SUM('FT GAS'!AP109,'FT GAS'!AP111)</f>
        <v>3.5545</v>
      </c>
      <c r="AC7" s="187">
        <f>SUM('FT GAS'!AQ109,'FT GAS'!AQ111)</f>
        <v>3.5595000000000003</v>
      </c>
      <c r="AD7" s="187">
        <f>SUM('FT GAS'!AR109,'FT GAS'!AR111)</f>
        <v>3.5935000000000001</v>
      </c>
      <c r="AE7" s="187">
        <f>SUM('FT GAS'!AS109,'FT GAS'!AS111)</f>
        <v>3.6999999999999997</v>
      </c>
      <c r="AF7" s="187">
        <f>SUM('FT GAS'!AT109,'FT GAS'!AT111)</f>
        <v>3.9060000000000001</v>
      </c>
      <c r="AG7" s="187">
        <f>SUM('FT GAS'!AU109,'FT GAS'!AU111)</f>
        <v>4.0179999999999998</v>
      </c>
      <c r="AH7" s="187">
        <f>SUM('FT GAS'!AV109,'FT GAS'!AV111)</f>
        <v>3.9969999999999999</v>
      </c>
      <c r="AI7" s="187">
        <f>SUM('FT GAS'!AW109,'FT GAS'!AW111)</f>
        <v>3.9260000000000002</v>
      </c>
      <c r="AJ7" s="187">
        <f>SUM('FT GAS'!AX109,'FT GAS'!AX111)</f>
        <v>3.7490000000000001</v>
      </c>
      <c r="AK7" s="187">
        <f>SUM('FT GAS'!AY109,'FT GAS'!AY111)</f>
        <v>3.766</v>
      </c>
      <c r="AL7" s="187">
        <f>SUM('FT GAS'!AZ109,'FT GAS'!AZ111)</f>
        <v>3.7909999999999999</v>
      </c>
    </row>
    <row r="8" spans="1:40">
      <c r="A8" s="4" t="s">
        <v>58</v>
      </c>
      <c r="B8" s="25"/>
      <c r="C8" s="25">
        <f t="shared" ref="C8:H8" si="4">+C6*C7</f>
        <v>420920.23849056603</v>
      </c>
      <c r="D8" s="25">
        <f t="shared" si="4"/>
        <v>324454.88838174276</v>
      </c>
      <c r="E8" s="25">
        <f t="shared" si="4"/>
        <v>108865.15957604189</v>
      </c>
      <c r="F8" s="25">
        <f t="shared" si="4"/>
        <v>237279.12888868843</v>
      </c>
      <c r="G8" s="25">
        <f t="shared" si="4"/>
        <v>0</v>
      </c>
      <c r="H8" s="25">
        <f t="shared" si="4"/>
        <v>0</v>
      </c>
      <c r="I8" s="25">
        <f>+I6*I7</f>
        <v>0</v>
      </c>
      <c r="J8" s="25">
        <f>+J6*J7</f>
        <v>0</v>
      </c>
      <c r="K8" s="25">
        <f>+K6*K7</f>
        <v>0</v>
      </c>
      <c r="L8" s="25">
        <f t="shared" ref="L8:R8" si="5">+L6*L7</f>
        <v>0</v>
      </c>
      <c r="M8" s="25">
        <f t="shared" si="5"/>
        <v>215122.8558454414</v>
      </c>
      <c r="N8" s="25">
        <f t="shared" si="5"/>
        <v>34070.801643620354</v>
      </c>
      <c r="O8" s="25">
        <f t="shared" si="5"/>
        <v>127944.75</v>
      </c>
      <c r="P8" s="25">
        <f t="shared" si="5"/>
        <v>139779</v>
      </c>
      <c r="Q8" s="25">
        <f t="shared" si="5"/>
        <v>133245</v>
      </c>
      <c r="R8" s="25">
        <f t="shared" si="5"/>
        <v>141034.50000000003</v>
      </c>
      <c r="X8" s="25">
        <f t="shared" ref="X8:AD8" si="6">+X6*X7</f>
        <v>170007.75000000003</v>
      </c>
      <c r="Y8" s="25">
        <f t="shared" si="6"/>
        <v>176595.375</v>
      </c>
      <c r="Z8" s="25">
        <f t="shared" si="6"/>
        <v>172631.25</v>
      </c>
      <c r="AA8" s="25">
        <f t="shared" si="6"/>
        <v>180636.22500000001</v>
      </c>
      <c r="AB8" s="25">
        <f t="shared" si="6"/>
        <v>181812.67499999999</v>
      </c>
      <c r="AC8" s="25">
        <f t="shared" si="6"/>
        <v>176195.25000000003</v>
      </c>
      <c r="AD8" s="25">
        <f t="shared" si="6"/>
        <v>183807.52499999999</v>
      </c>
      <c r="AJ8" s="25">
        <f>+AJ6*AJ7</f>
        <v>185575.5</v>
      </c>
      <c r="AK8" s="25">
        <f>+AK6*AK7</f>
        <v>192630.9</v>
      </c>
      <c r="AL8" s="25">
        <f>+AL6*AL7</f>
        <v>187654.5</v>
      </c>
      <c r="AM8" s="25">
        <f>+AM6*AM7</f>
        <v>0</v>
      </c>
    </row>
    <row r="9" spans="1:40">
      <c r="A9" s="4" t="s">
        <v>194</v>
      </c>
      <c r="H9" s="150">
        <v>-0.18</v>
      </c>
      <c r="I9" s="150">
        <v>-0.21</v>
      </c>
      <c r="J9" s="150">
        <v>-0.16</v>
      </c>
      <c r="K9" s="150">
        <v>-0.08</v>
      </c>
      <c r="T9" s="150">
        <v>-0.18</v>
      </c>
      <c r="U9" s="150">
        <v>-0.21</v>
      </c>
      <c r="V9" s="150">
        <v>-0.16</v>
      </c>
      <c r="W9" s="150">
        <v>-0.08</v>
      </c>
      <c r="AF9" s="150">
        <v>0.18</v>
      </c>
      <c r="AG9" s="150">
        <v>0.21</v>
      </c>
      <c r="AH9" s="150">
        <v>0.16</v>
      </c>
      <c r="AI9" s="150">
        <v>0.08</v>
      </c>
    </row>
    <row r="10" spans="1:40">
      <c r="A10" s="4" t="s">
        <v>344</v>
      </c>
      <c r="H10" s="108">
        <f>H9*$D$1</f>
        <v>-101278.62</v>
      </c>
      <c r="I10" s="108">
        <f>I9*$D$1</f>
        <v>-118158.39</v>
      </c>
      <c r="J10" s="108">
        <f>J9*$D$1</f>
        <v>-90025.44</v>
      </c>
      <c r="K10" s="108">
        <f>K9*$D$1</f>
        <v>-45012.72</v>
      </c>
      <c r="T10" s="107">
        <f>T9*$P$1</f>
        <v>-101278.62</v>
      </c>
      <c r="U10" s="107">
        <f>U9*$P$1</f>
        <v>-118158.39</v>
      </c>
      <c r="V10" s="107">
        <f>V9*$P$1</f>
        <v>-90025.44</v>
      </c>
      <c r="W10" s="107">
        <f>W9*$P$1</f>
        <v>-45012.72</v>
      </c>
      <c r="AF10" s="107">
        <f>-AF9*$AB$1</f>
        <v>-101278.62</v>
      </c>
      <c r="AG10" s="107">
        <f>-AG9*$AB$1</f>
        <v>-118158.39</v>
      </c>
      <c r="AH10" s="107">
        <f>-AH9*$AB$1</f>
        <v>-90025.44</v>
      </c>
      <c r="AI10" s="107">
        <f>-AI9*$AB$1</f>
        <v>-45012.72</v>
      </c>
    </row>
    <row r="11" spans="1:40" s="194" customFormat="1">
      <c r="A11" s="224" t="s">
        <v>195</v>
      </c>
      <c r="G11" s="413">
        <v>-9942</v>
      </c>
      <c r="H11" s="413">
        <v>-103153</v>
      </c>
      <c r="I11" s="413">
        <v>-134214</v>
      </c>
      <c r="J11" s="413">
        <v>-49385</v>
      </c>
      <c r="K11" s="413">
        <v>-3336</v>
      </c>
      <c r="L11" s="413">
        <v>-90045</v>
      </c>
      <c r="M11" s="413">
        <v>-302</v>
      </c>
      <c r="T11" s="194">
        <f>T10</f>
        <v>-101278.62</v>
      </c>
      <c r="U11" s="194">
        <f>U10</f>
        <v>-118158.39</v>
      </c>
      <c r="V11" s="194">
        <f>V10</f>
        <v>-90025.44</v>
      </c>
      <c r="W11" s="194">
        <f>W10</f>
        <v>-45012.72</v>
      </c>
      <c r="AF11" s="194">
        <f>AF10</f>
        <v>-101278.62</v>
      </c>
      <c r="AG11" s="194">
        <f>AG10</f>
        <v>-118158.39</v>
      </c>
      <c r="AH11" s="194">
        <f>AH10</f>
        <v>-90025.44</v>
      </c>
      <c r="AI11" s="194">
        <f>AI10</f>
        <v>-45012.72</v>
      </c>
    </row>
    <row r="12" spans="1:40">
      <c r="A12" s="4" t="s">
        <v>59</v>
      </c>
      <c r="G12" s="20">
        <f t="shared" ref="G12:L12" si="7">+F20</f>
        <v>4.5245628731946566</v>
      </c>
      <c r="H12" s="20">
        <f t="shared" si="7"/>
        <v>4.5245628731946566</v>
      </c>
      <c r="I12" s="20">
        <f t="shared" si="7"/>
        <v>4.5245628731946574</v>
      </c>
      <c r="J12" s="20">
        <f t="shared" si="7"/>
        <v>4.5245628731946574</v>
      </c>
      <c r="K12" s="20">
        <f t="shared" si="7"/>
        <v>4.5245628731946574</v>
      </c>
      <c r="L12" s="20">
        <f t="shared" si="7"/>
        <v>4.5245628731946574</v>
      </c>
      <c r="T12" s="20">
        <f>+S20</f>
        <v>3.2937623765945441</v>
      </c>
      <c r="U12" s="20">
        <f>+T20</f>
        <v>3.2937623765945445</v>
      </c>
      <c r="V12" s="20">
        <f>+U20</f>
        <v>3.2937623765945445</v>
      </c>
      <c r="W12" s="20">
        <f>+V20</f>
        <v>3.293762376594545</v>
      </c>
      <c r="AF12" s="20">
        <f>+AE20</f>
        <v>3.4629304435210928</v>
      </c>
      <c r="AG12" s="20">
        <f>+AF20</f>
        <v>3.4629304435210928</v>
      </c>
      <c r="AH12" s="20">
        <f>+AG20</f>
        <v>3.4629304435210928</v>
      </c>
      <c r="AI12" s="20">
        <f>+AH20</f>
        <v>3.4629304435210937</v>
      </c>
    </row>
    <row r="13" spans="1:40">
      <c r="A13" s="4" t="s">
        <v>60</v>
      </c>
      <c r="G13" s="30">
        <f t="shared" ref="G13:L13" si="8">G11*G12</f>
        <v>-44983.204085301273</v>
      </c>
      <c r="H13" s="30">
        <f t="shared" si="8"/>
        <v>-466722.23405864841</v>
      </c>
      <c r="I13" s="30">
        <f t="shared" si="8"/>
        <v>-607259.68146294774</v>
      </c>
      <c r="J13" s="30">
        <f t="shared" si="8"/>
        <v>-223445.53749271817</v>
      </c>
      <c r="K13" s="30">
        <f t="shared" si="8"/>
        <v>-15093.941744977377</v>
      </c>
      <c r="L13" s="30">
        <f t="shared" si="8"/>
        <v>-407414.26391681295</v>
      </c>
      <c r="T13" s="30">
        <f>T10*T12</f>
        <v>-333587.70810941572</v>
      </c>
      <c r="U13" s="30">
        <f>U11*U12</f>
        <v>-389185.65946098504</v>
      </c>
      <c r="V13" s="30">
        <f>V11*V12</f>
        <v>-296522.40720836958</v>
      </c>
      <c r="W13" s="30">
        <f>W11*W12</f>
        <v>-148261.20360418482</v>
      </c>
      <c r="AF13" s="30">
        <f>AF11*AF12</f>
        <v>-350720.8164758042</v>
      </c>
      <c r="AG13" s="30">
        <f>AG11*AG12</f>
        <v>-409174.28588843823</v>
      </c>
      <c r="AH13" s="30">
        <f>AH11*AH12</f>
        <v>-311751.83686738153</v>
      </c>
      <c r="AI13" s="30">
        <f>AI11*AI12</f>
        <v>-155875.91843369082</v>
      </c>
    </row>
    <row r="14" spans="1:40">
      <c r="A14" s="4" t="s">
        <v>62</v>
      </c>
    </row>
    <row r="15" spans="1:40" s="16" customFormat="1">
      <c r="A15" s="7" t="s">
        <v>63</v>
      </c>
    </row>
    <row r="16" spans="1:40">
      <c r="A16" s="4" t="s">
        <v>64</v>
      </c>
    </row>
    <row r="17" spans="1:38">
      <c r="A17" s="4" t="s">
        <v>347</v>
      </c>
      <c r="B17" s="124">
        <f>B18/$D$1</f>
        <v>0.53157063159035933</v>
      </c>
      <c r="C17" s="124">
        <f t="shared" ref="C17:N17" si="9">C18/$D$1</f>
        <v>0.69812444126904571</v>
      </c>
      <c r="D17" s="124">
        <f t="shared" si="9"/>
        <v>0.82655213903980918</v>
      </c>
      <c r="E17" s="124">
        <f t="shared" si="9"/>
        <v>0.87609013629925048</v>
      </c>
      <c r="F17" s="134">
        <f t="shared" si="9"/>
        <v>0.98584933325513324</v>
      </c>
      <c r="G17" s="128">
        <f t="shared" si="9"/>
        <v>0.96817966121576304</v>
      </c>
      <c r="H17" s="124">
        <f t="shared" si="9"/>
        <v>0.78484837174914113</v>
      </c>
      <c r="I17" s="124">
        <f t="shared" si="9"/>
        <v>0.54631313104384716</v>
      </c>
      <c r="J17" s="124">
        <f t="shared" si="9"/>
        <v>0.45854238535240704</v>
      </c>
      <c r="K17" s="134">
        <f t="shared" si="9"/>
        <v>0.45261339461378919</v>
      </c>
      <c r="L17" s="124">
        <f t="shared" si="9"/>
        <v>0.29257863110694043</v>
      </c>
      <c r="M17" s="124">
        <f t="shared" si="9"/>
        <v>0.47618717553615958</v>
      </c>
      <c r="N17" s="124">
        <f t="shared" si="9"/>
        <v>0.50092151729555556</v>
      </c>
      <c r="O17" s="124">
        <f>O18/$P$1</f>
        <v>0.58356482345434801</v>
      </c>
      <c r="P17" s="124">
        <f t="shared" ref="P17:Z17" si="10">P18/$P$1</f>
        <v>0.66620812961314047</v>
      </c>
      <c r="Q17" s="124">
        <f t="shared" si="10"/>
        <v>0.74618552267003635</v>
      </c>
      <c r="R17" s="134">
        <f t="shared" si="10"/>
        <v>0.8288288288288288</v>
      </c>
      <c r="S17" s="124">
        <f t="shared" si="10"/>
        <v>0.8288288288288288</v>
      </c>
      <c r="T17" s="124">
        <f t="shared" si="10"/>
        <v>0.64882882882882886</v>
      </c>
      <c r="U17" s="124">
        <f t="shared" si="10"/>
        <v>0.43882882882882879</v>
      </c>
      <c r="V17" s="124">
        <f t="shared" si="10"/>
        <v>0.27882882882882881</v>
      </c>
      <c r="W17" s="134">
        <f t="shared" si="10"/>
        <v>0.1988288288288288</v>
      </c>
      <c r="X17" s="124">
        <f t="shared" si="10"/>
        <v>0.28680396119141432</v>
      </c>
      <c r="Y17" s="124">
        <f t="shared" si="10"/>
        <v>0.377711597966086</v>
      </c>
      <c r="Z17" s="124">
        <f t="shared" si="10"/>
        <v>0.46568673032867153</v>
      </c>
      <c r="AA17" s="124">
        <f t="shared" ref="AA17:AL17" si="11">AA18/$AB$1</f>
        <v>0.5565943671033432</v>
      </c>
      <c r="AB17" s="124">
        <f t="shared" si="11"/>
        <v>0.64750200387801482</v>
      </c>
      <c r="AC17" s="124">
        <f t="shared" si="11"/>
        <v>0.7354771362406004</v>
      </c>
      <c r="AD17" s="134">
        <f t="shared" si="11"/>
        <v>0.82638477301527202</v>
      </c>
      <c r="AE17" s="124">
        <f t="shared" si="11"/>
        <v>0.82638477301527202</v>
      </c>
      <c r="AF17" s="124">
        <f t="shared" si="11"/>
        <v>0.64638477301527208</v>
      </c>
      <c r="AG17" s="124">
        <f t="shared" si="11"/>
        <v>0.43638477301527201</v>
      </c>
      <c r="AH17" s="124">
        <f t="shared" si="11"/>
        <v>0.27638477301527203</v>
      </c>
      <c r="AI17" s="134">
        <f t="shared" si="11"/>
        <v>0.19638477301527202</v>
      </c>
      <c r="AJ17" s="124">
        <f t="shared" si="11"/>
        <v>0.28435990537785755</v>
      </c>
      <c r="AK17" s="124">
        <f t="shared" si="11"/>
        <v>0.37526754215252922</v>
      </c>
      <c r="AL17" s="124">
        <f t="shared" si="11"/>
        <v>0.46324267451511475</v>
      </c>
    </row>
    <row r="18" spans="1:38" s="24" customFormat="1">
      <c r="A18" s="35" t="s">
        <v>345</v>
      </c>
      <c r="B18" s="132">
        <v>299093</v>
      </c>
      <c r="C18" s="394">
        <f>B18+C6+C11</f>
        <v>392806</v>
      </c>
      <c r="D18" s="394">
        <f t="shared" ref="D18:L18" si="12">C18+D6+D11</f>
        <v>465067</v>
      </c>
      <c r="E18" s="394">
        <f t="shared" si="12"/>
        <v>492940</v>
      </c>
      <c r="F18" s="394">
        <f t="shared" si="12"/>
        <v>554697</v>
      </c>
      <c r="G18" s="394">
        <f t="shared" si="12"/>
        <v>544755</v>
      </c>
      <c r="H18" s="394">
        <f t="shared" si="12"/>
        <v>441602</v>
      </c>
      <c r="I18" s="394">
        <f t="shared" si="12"/>
        <v>307388</v>
      </c>
      <c r="J18" s="394">
        <f t="shared" si="12"/>
        <v>258003</v>
      </c>
      <c r="K18" s="394">
        <f t="shared" si="12"/>
        <v>254667</v>
      </c>
      <c r="L18" s="394">
        <f t="shared" si="12"/>
        <v>164622</v>
      </c>
      <c r="M18" s="28">
        <f>+L18+M6+M11</f>
        <v>267931</v>
      </c>
      <c r="N18" s="28">
        <f>+M18+N6+N11</f>
        <v>281848</v>
      </c>
      <c r="O18" s="28">
        <f t="shared" ref="O18:Z18" si="13">+N18+O6+O11</f>
        <v>328348</v>
      </c>
      <c r="P18" s="28">
        <f t="shared" si="13"/>
        <v>374848</v>
      </c>
      <c r="Q18" s="28">
        <f t="shared" si="13"/>
        <v>419848</v>
      </c>
      <c r="R18" s="28">
        <f t="shared" si="13"/>
        <v>466348</v>
      </c>
      <c r="S18" s="28">
        <f t="shared" si="13"/>
        <v>466348</v>
      </c>
      <c r="T18" s="28">
        <f>+S18+T6+T10</f>
        <v>365069.38</v>
      </c>
      <c r="U18" s="28">
        <f t="shared" si="13"/>
        <v>246910.99</v>
      </c>
      <c r="V18" s="28">
        <f t="shared" si="13"/>
        <v>156885.54999999999</v>
      </c>
      <c r="W18" s="28">
        <f t="shared" si="13"/>
        <v>111872.82999999999</v>
      </c>
      <c r="X18" s="28">
        <f t="shared" si="13"/>
        <v>161372.82999999999</v>
      </c>
      <c r="Y18" s="28">
        <f t="shared" si="13"/>
        <v>212522.83</v>
      </c>
      <c r="Z18" s="28">
        <f t="shared" si="13"/>
        <v>262022.83</v>
      </c>
      <c r="AA18" s="28">
        <f>+Z18+AA6+AA11</f>
        <v>313172.82999999996</v>
      </c>
      <c r="AB18" s="28">
        <f>+AA18+AB6+AB11</f>
        <v>364322.82999999996</v>
      </c>
      <c r="AC18" s="28">
        <f>+AB18+AC6+AC11</f>
        <v>413822.82999999996</v>
      </c>
      <c r="AD18" s="28">
        <f>+AC18+AD6+AD11</f>
        <v>464972.82999999996</v>
      </c>
      <c r="AE18" s="28">
        <f t="shared" ref="AE18:AL18" si="14">+AD18+AE6+AE11</f>
        <v>464972.82999999996</v>
      </c>
      <c r="AF18" s="28">
        <f t="shared" si="14"/>
        <v>363694.20999999996</v>
      </c>
      <c r="AG18" s="28">
        <f t="shared" si="14"/>
        <v>245535.81999999995</v>
      </c>
      <c r="AH18" s="28">
        <f t="shared" si="14"/>
        <v>155510.37999999995</v>
      </c>
      <c r="AI18" s="28">
        <f t="shared" si="14"/>
        <v>110497.65999999995</v>
      </c>
      <c r="AJ18" s="28">
        <f t="shared" si="14"/>
        <v>159997.65999999995</v>
      </c>
      <c r="AK18" s="28">
        <f t="shared" si="14"/>
        <v>211147.65999999995</v>
      </c>
      <c r="AL18" s="28">
        <f t="shared" si="14"/>
        <v>260647.65999999995</v>
      </c>
    </row>
    <row r="19" spans="1:38" s="24" customFormat="1">
      <c r="A19" s="35" t="s">
        <v>346</v>
      </c>
      <c r="B19" s="186">
        <v>1418242.0367354171</v>
      </c>
      <c r="C19" s="411">
        <f>B19+C8+C13</f>
        <v>1839162.275225983</v>
      </c>
      <c r="D19" s="411">
        <f t="shared" ref="D19:AL19" si="15">C19+D8+D13</f>
        <v>2163617.1636077259</v>
      </c>
      <c r="E19" s="411">
        <f t="shared" si="15"/>
        <v>2272482.323183768</v>
      </c>
      <c r="F19" s="411">
        <f t="shared" si="15"/>
        <v>2509761.4520724565</v>
      </c>
      <c r="G19" s="411">
        <f t="shared" si="15"/>
        <v>2464778.2479871553</v>
      </c>
      <c r="H19" s="411">
        <f t="shared" si="15"/>
        <v>1998056.013928507</v>
      </c>
      <c r="I19" s="411">
        <f t="shared" si="15"/>
        <v>1390796.3324655592</v>
      </c>
      <c r="J19" s="411">
        <f t="shared" si="15"/>
        <v>1167350.7949728412</v>
      </c>
      <c r="K19" s="411">
        <f t="shared" si="15"/>
        <v>1152256.8532278638</v>
      </c>
      <c r="L19" s="411">
        <f t="shared" si="15"/>
        <v>744842.58931105083</v>
      </c>
      <c r="M19" s="26">
        <f t="shared" si="15"/>
        <v>959965.44515649229</v>
      </c>
      <c r="N19" s="26">
        <f t="shared" si="15"/>
        <v>994036.24680011265</v>
      </c>
      <c r="O19" s="26">
        <f t="shared" si="15"/>
        <v>1121980.9968001125</v>
      </c>
      <c r="P19" s="26">
        <f t="shared" si="15"/>
        <v>1261759.9968001125</v>
      </c>
      <c r="Q19" s="26">
        <f t="shared" si="15"/>
        <v>1395004.9968001125</v>
      </c>
      <c r="R19" s="26">
        <f t="shared" si="15"/>
        <v>1536039.4968001125</v>
      </c>
      <c r="S19" s="26">
        <f t="shared" si="15"/>
        <v>1536039.4968001125</v>
      </c>
      <c r="T19" s="26">
        <f t="shared" si="15"/>
        <v>1202451.7886906969</v>
      </c>
      <c r="U19" s="26">
        <f t="shared" si="15"/>
        <v>813266.12922971183</v>
      </c>
      <c r="V19" s="26">
        <f t="shared" si="15"/>
        <v>516743.72202134226</v>
      </c>
      <c r="W19" s="26">
        <f t="shared" si="15"/>
        <v>368482.51841715747</v>
      </c>
      <c r="X19" s="26">
        <f t="shared" si="15"/>
        <v>538490.26841715747</v>
      </c>
      <c r="Y19" s="26">
        <f t="shared" si="15"/>
        <v>715085.64341715747</v>
      </c>
      <c r="Z19" s="26">
        <f t="shared" si="15"/>
        <v>887716.89341715747</v>
      </c>
      <c r="AA19" s="26">
        <f t="shared" si="15"/>
        <v>1068353.1184171576</v>
      </c>
      <c r="AB19" s="26">
        <f t="shared" si="15"/>
        <v>1250165.7934171576</v>
      </c>
      <c r="AC19" s="26">
        <f t="shared" si="15"/>
        <v>1426361.0434171576</v>
      </c>
      <c r="AD19" s="26">
        <f t="shared" si="15"/>
        <v>1610168.5684171575</v>
      </c>
      <c r="AE19" s="26">
        <f t="shared" si="15"/>
        <v>1610168.5684171575</v>
      </c>
      <c r="AF19" s="26">
        <f t="shared" si="15"/>
        <v>1259447.7519413533</v>
      </c>
      <c r="AG19" s="26">
        <f t="shared" si="15"/>
        <v>850273.46605291509</v>
      </c>
      <c r="AH19" s="26">
        <f t="shared" si="15"/>
        <v>538521.62918553362</v>
      </c>
      <c r="AI19" s="26">
        <f t="shared" si="15"/>
        <v>382645.71075184282</v>
      </c>
      <c r="AJ19" s="26">
        <f t="shared" si="15"/>
        <v>568221.21075184282</v>
      </c>
      <c r="AK19" s="26">
        <f t="shared" si="15"/>
        <v>760852.11075184285</v>
      </c>
      <c r="AL19" s="26">
        <f t="shared" si="15"/>
        <v>948506.61075184285</v>
      </c>
    </row>
    <row r="20" spans="1:38">
      <c r="A20" s="4" t="s">
        <v>65</v>
      </c>
      <c r="B20" s="20">
        <f>+B19/B18</f>
        <v>4.7418095265867706</v>
      </c>
      <c r="C20" s="20">
        <f t="shared" ref="C20:O20" si="16">+C19/C18</f>
        <v>4.6821134993507814</v>
      </c>
      <c r="D20" s="20">
        <f t="shared" si="16"/>
        <v>4.6522698097429531</v>
      </c>
      <c r="E20" s="20">
        <f t="shared" si="16"/>
        <v>4.6100586748565098</v>
      </c>
      <c r="F20" s="135">
        <f t="shared" si="16"/>
        <v>4.5245628731946566</v>
      </c>
      <c r="G20" s="20">
        <f t="shared" si="16"/>
        <v>4.5245628731946566</v>
      </c>
      <c r="H20" s="20">
        <f t="shared" si="16"/>
        <v>4.5245628731946574</v>
      </c>
      <c r="I20" s="20">
        <f t="shared" si="16"/>
        <v>4.5245628731946574</v>
      </c>
      <c r="J20" s="20">
        <f t="shared" si="16"/>
        <v>4.5245628731946574</v>
      </c>
      <c r="K20" s="20">
        <f t="shared" si="16"/>
        <v>4.5245628731946574</v>
      </c>
      <c r="L20" s="20">
        <f t="shared" si="16"/>
        <v>4.5245628731946574</v>
      </c>
      <c r="M20" s="20">
        <f t="shared" si="16"/>
        <v>3.582883074957703</v>
      </c>
      <c r="N20" s="20">
        <f t="shared" si="16"/>
        <v>3.5268522281517436</v>
      </c>
      <c r="O20" s="20">
        <f t="shared" si="16"/>
        <v>3.4170483657586237</v>
      </c>
      <c r="P20" s="20">
        <f t="shared" ref="P20:AA20" si="17">+P19/P18</f>
        <v>3.3660577001881098</v>
      </c>
      <c r="Q20" s="20">
        <f t="shared" si="17"/>
        <v>3.3226429488770042</v>
      </c>
      <c r="R20" s="135">
        <f t="shared" si="17"/>
        <v>3.2937623765945441</v>
      </c>
      <c r="S20" s="20">
        <f t="shared" si="17"/>
        <v>3.2937623765945441</v>
      </c>
      <c r="T20" s="20">
        <f t="shared" si="17"/>
        <v>3.2937623765945445</v>
      </c>
      <c r="U20" s="20">
        <f t="shared" si="17"/>
        <v>3.2937623765945445</v>
      </c>
      <c r="V20" s="20">
        <f t="shared" si="17"/>
        <v>3.293762376594545</v>
      </c>
      <c r="W20" s="20">
        <f t="shared" si="17"/>
        <v>3.293762376594545</v>
      </c>
      <c r="X20" s="20">
        <f t="shared" si="17"/>
        <v>3.3369326696269597</v>
      </c>
      <c r="Y20" s="20">
        <f t="shared" si="17"/>
        <v>3.3647474175699501</v>
      </c>
      <c r="Z20" s="20">
        <f t="shared" si="17"/>
        <v>3.3879372015681133</v>
      </c>
      <c r="AA20" s="20">
        <f t="shared" si="17"/>
        <v>3.4113850758290805</v>
      </c>
      <c r="AB20" s="20">
        <f t="shared" ref="AB20:AL20" si="18">+AB19/AB18</f>
        <v>3.4314780476896214</v>
      </c>
      <c r="AC20" s="20">
        <f t="shared" si="18"/>
        <v>3.4467915736238086</v>
      </c>
      <c r="AD20" s="135">
        <f t="shared" si="18"/>
        <v>3.4629304435210928</v>
      </c>
      <c r="AE20" s="20">
        <f t="shared" si="18"/>
        <v>3.4629304435210928</v>
      </c>
      <c r="AF20" s="20">
        <f t="shared" si="18"/>
        <v>3.4629304435210928</v>
      </c>
      <c r="AG20" s="20">
        <f t="shared" si="18"/>
        <v>3.4629304435210928</v>
      </c>
      <c r="AH20" s="20">
        <f t="shared" si="18"/>
        <v>3.4629304435210937</v>
      </c>
      <c r="AI20" s="20">
        <f t="shared" si="18"/>
        <v>3.4629304435210937</v>
      </c>
      <c r="AJ20" s="20">
        <f t="shared" si="18"/>
        <v>3.5514345069286826</v>
      </c>
      <c r="AK20" s="20">
        <f t="shared" si="18"/>
        <v>3.6034124685627256</v>
      </c>
      <c r="AL20" s="20">
        <f t="shared" si="18"/>
        <v>3.6390375066165683</v>
      </c>
    </row>
    <row r="21" spans="1:38" s="24" customFormat="1">
      <c r="A21" s="35"/>
      <c r="B21" s="21"/>
      <c r="C21" s="21"/>
      <c r="D21" s="21"/>
      <c r="E21" s="21"/>
      <c r="F21" s="180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180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180"/>
      <c r="AE21" s="21"/>
      <c r="AF21" s="21"/>
      <c r="AG21" s="21"/>
      <c r="AH21" s="21"/>
      <c r="AI21" s="21"/>
      <c r="AJ21" s="21"/>
      <c r="AK21" s="21"/>
      <c r="AL21" s="21"/>
    </row>
    <row r="22" spans="1:38" s="28" customFormat="1">
      <c r="A22" s="31" t="s">
        <v>447</v>
      </c>
      <c r="B22" s="394">
        <v>299093</v>
      </c>
      <c r="C22" s="394">
        <v>392806</v>
      </c>
      <c r="D22" s="394">
        <v>465067</v>
      </c>
      <c r="E22" s="394">
        <v>492940</v>
      </c>
      <c r="F22" s="394">
        <v>554697</v>
      </c>
      <c r="G22" s="394">
        <v>544755</v>
      </c>
      <c r="H22" s="394">
        <v>441602</v>
      </c>
      <c r="I22" s="394">
        <v>307388</v>
      </c>
      <c r="J22" s="394">
        <v>258003</v>
      </c>
      <c r="K22" s="394">
        <v>254667</v>
      </c>
      <c r="L22" s="394">
        <v>164622</v>
      </c>
      <c r="M22" s="394">
        <v>267931</v>
      </c>
      <c r="N22" s="394">
        <v>281848</v>
      </c>
      <c r="R22" s="131"/>
      <c r="AD22" s="131"/>
    </row>
    <row r="23" spans="1:38" s="39" customFormat="1">
      <c r="A23" s="112" t="s">
        <v>445</v>
      </c>
      <c r="B23" s="393">
        <v>1418242.0367354171</v>
      </c>
      <c r="C23" s="393">
        <v>1833175.0867354171</v>
      </c>
      <c r="D23" s="393">
        <v>2153327.446735417</v>
      </c>
      <c r="E23" s="393">
        <v>2263726.8267354169</v>
      </c>
      <c r="F23" s="393">
        <v>2503245.1755354167</v>
      </c>
      <c r="G23" s="393">
        <v>2458377.9683011346</v>
      </c>
      <c r="H23" s="393">
        <v>1992868.9748983937</v>
      </c>
      <c r="I23" s="393">
        <v>1387185.1139297097</v>
      </c>
      <c r="J23" s="393">
        <v>1164320.9021493939</v>
      </c>
      <c r="K23" s="393">
        <v>1149265.1698430302</v>
      </c>
      <c r="L23" s="393">
        <v>742910.39241361164</v>
      </c>
      <c r="M23" s="393">
        <v>977686.20681549457</v>
      </c>
      <c r="N23" s="393">
        <v>1013491.8668154946</v>
      </c>
      <c r="R23" s="197"/>
      <c r="AD23" s="197"/>
    </row>
    <row r="24" spans="1:38">
      <c r="A24" s="1" t="s">
        <v>740</v>
      </c>
      <c r="B24" s="228">
        <f t="shared" ref="B24:I24" si="19">B23/B22</f>
        <v>4.7418095265867706</v>
      </c>
      <c r="C24" s="228">
        <f t="shared" si="19"/>
        <v>4.6668713989486337</v>
      </c>
      <c r="D24" s="228">
        <f t="shared" si="19"/>
        <v>4.6301445742987939</v>
      </c>
      <c r="E24" s="228">
        <f t="shared" si="19"/>
        <v>4.5922968854940089</v>
      </c>
      <c r="F24" s="228">
        <f t="shared" si="19"/>
        <v>4.5128154209152322</v>
      </c>
      <c r="G24" s="228">
        <f t="shared" si="19"/>
        <v>4.5128139591213197</v>
      </c>
      <c r="H24" s="228">
        <f t="shared" si="19"/>
        <v>4.5128169140954837</v>
      </c>
      <c r="I24" s="228">
        <f t="shared" si="19"/>
        <v>4.5128147941029244</v>
      </c>
      <c r="J24" s="228"/>
      <c r="K24" s="228"/>
      <c r="L24" s="228"/>
      <c r="M24" s="20"/>
      <c r="N24" s="20"/>
      <c r="O24" s="20"/>
      <c r="P24" s="20"/>
      <c r="Q24" s="20"/>
      <c r="R24" s="18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180"/>
      <c r="AE24" s="20"/>
      <c r="AF24" s="20"/>
      <c r="AG24" s="20"/>
      <c r="AH24" s="20"/>
      <c r="AI24" s="20"/>
      <c r="AJ24" s="20"/>
      <c r="AK24" s="20"/>
      <c r="AL24" s="20"/>
    </row>
    <row r="25" spans="1:38" s="29" customFormat="1">
      <c r="A25" s="1"/>
      <c r="R25" s="204"/>
      <c r="AD25" s="204"/>
    </row>
    <row r="26" spans="1:38" s="108" customFormat="1">
      <c r="A26" s="105" t="s">
        <v>448</v>
      </c>
      <c r="B26" s="108">
        <f t="shared" ref="B26:C28" si="20">B18-B22</f>
        <v>0</v>
      </c>
      <c r="C26" s="108">
        <f t="shared" si="20"/>
        <v>0</v>
      </c>
      <c r="D26" s="108">
        <f t="shared" ref="D26:E28" si="21">D18-D22</f>
        <v>0</v>
      </c>
      <c r="E26" s="108">
        <f t="shared" si="21"/>
        <v>0</v>
      </c>
      <c r="F26" s="108">
        <f t="shared" ref="F26:H28" si="22">F18-F22</f>
        <v>0</v>
      </c>
      <c r="G26" s="108">
        <f t="shared" si="22"/>
        <v>0</v>
      </c>
      <c r="H26" s="108">
        <f t="shared" si="22"/>
        <v>0</v>
      </c>
      <c r="I26" s="108">
        <f t="shared" ref="I26:K28" si="23">I18-I22</f>
        <v>0</v>
      </c>
      <c r="J26" s="108">
        <f t="shared" si="23"/>
        <v>0</v>
      </c>
      <c r="K26" s="108">
        <f t="shared" si="23"/>
        <v>0</v>
      </c>
      <c r="L26" s="108">
        <f t="shared" ref="L26:M28" si="24">L18-L22</f>
        <v>0</v>
      </c>
      <c r="M26" s="108">
        <f t="shared" si="24"/>
        <v>0</v>
      </c>
      <c r="N26" s="108">
        <f t="shared" ref="N26" si="25">N18-N22</f>
        <v>0</v>
      </c>
    </row>
    <row r="27" spans="1:38" s="22" customFormat="1">
      <c r="A27" s="112" t="s">
        <v>449</v>
      </c>
      <c r="B27" s="32">
        <f t="shared" si="20"/>
        <v>0</v>
      </c>
      <c r="C27" s="30">
        <f t="shared" si="20"/>
        <v>5987.1884905658662</v>
      </c>
      <c r="D27" s="30">
        <f t="shared" si="21"/>
        <v>10289.716872308869</v>
      </c>
      <c r="E27" s="30">
        <f t="shared" si="21"/>
        <v>8755.4964483510703</v>
      </c>
      <c r="F27" s="30">
        <f t="shared" si="22"/>
        <v>6516.2765370397829</v>
      </c>
      <c r="G27" s="30">
        <f t="shared" si="22"/>
        <v>6400.2796860206872</v>
      </c>
      <c r="H27" s="30">
        <f t="shared" si="22"/>
        <v>5187.0390301132575</v>
      </c>
      <c r="I27" s="30">
        <f t="shared" si="23"/>
        <v>3611.2185358495917</v>
      </c>
      <c r="J27" s="30">
        <f t="shared" si="23"/>
        <v>3029.8928234472405</v>
      </c>
      <c r="K27" s="30">
        <f>K19-K23</f>
        <v>2991.6833848336246</v>
      </c>
      <c r="L27" s="30">
        <f t="shared" si="24"/>
        <v>1932.196897439193</v>
      </c>
      <c r="M27" s="30">
        <f t="shared" si="24"/>
        <v>-17720.761659002281</v>
      </c>
      <c r="N27" s="30">
        <f t="shared" ref="N27" si="26">N19-N23</f>
        <v>-19455.620015381952</v>
      </c>
    </row>
    <row r="28" spans="1:38">
      <c r="A28" s="196" t="s">
        <v>741</v>
      </c>
      <c r="B28" s="29">
        <f t="shared" si="20"/>
        <v>0</v>
      </c>
      <c r="C28" s="29">
        <f t="shared" si="20"/>
        <v>1.5242100402147685E-2</v>
      </c>
      <c r="D28" s="29">
        <f t="shared" si="21"/>
        <v>2.212523544415923E-2</v>
      </c>
      <c r="E28" s="29">
        <f t="shared" si="21"/>
        <v>1.7761789362500835E-2</v>
      </c>
      <c r="F28" s="29">
        <f t="shared" si="22"/>
        <v>1.1747452279424309E-2</v>
      </c>
      <c r="G28" s="29">
        <f t="shared" si="22"/>
        <v>1.1748914073336891E-2</v>
      </c>
      <c r="H28" s="29">
        <f t="shared" si="22"/>
        <v>1.1745959099173753E-2</v>
      </c>
      <c r="I28" s="29">
        <f t="shared" si="23"/>
        <v>1.1748079091733032E-2</v>
      </c>
      <c r="J28" s="29">
        <f t="shared" si="23"/>
        <v>4.5245628731946574</v>
      </c>
      <c r="K28" s="29">
        <f>K20-K24</f>
        <v>4.5245628731946574</v>
      </c>
      <c r="L28" s="29">
        <f t="shared" si="24"/>
        <v>4.5245628731946574</v>
      </c>
      <c r="M28" s="29">
        <f t="shared" si="24"/>
        <v>3.582883074957703</v>
      </c>
      <c r="N28" s="29">
        <f t="shared" ref="N28" si="27">N20-N24</f>
        <v>3.5268522281517436</v>
      </c>
    </row>
    <row r="29" spans="1:38">
      <c r="A29" s="196"/>
      <c r="B29" s="29"/>
    </row>
    <row r="30" spans="1:38" s="22" customFormat="1">
      <c r="A30" s="31" t="s">
        <v>285</v>
      </c>
      <c r="B30" s="394">
        <v>299093</v>
      </c>
      <c r="C30" s="394">
        <v>392806</v>
      </c>
      <c r="D30" s="394">
        <v>465067</v>
      </c>
      <c r="E30" s="394">
        <v>492940</v>
      </c>
      <c r="F30" s="394">
        <v>554697</v>
      </c>
      <c r="G30" s="394">
        <v>544755</v>
      </c>
      <c r="H30" s="394">
        <v>441602</v>
      </c>
      <c r="I30" s="394">
        <v>307388</v>
      </c>
      <c r="J30" s="394">
        <v>258003</v>
      </c>
      <c r="K30" s="394">
        <v>254667</v>
      </c>
      <c r="L30" s="394">
        <v>164354</v>
      </c>
      <c r="M30" s="394">
        <v>267931</v>
      </c>
      <c r="N30" s="394">
        <v>281848</v>
      </c>
    </row>
    <row r="31" spans="1:38">
      <c r="A31" s="1" t="s">
        <v>284</v>
      </c>
      <c r="B31" s="108">
        <f t="shared" ref="B31:N31" si="28">B30-B18</f>
        <v>0</v>
      </c>
      <c r="C31" s="108">
        <f t="shared" si="28"/>
        <v>0</v>
      </c>
      <c r="D31" s="108">
        <f t="shared" si="28"/>
        <v>0</v>
      </c>
      <c r="E31" s="108">
        <f t="shared" si="28"/>
        <v>0</v>
      </c>
      <c r="F31" s="108">
        <f t="shared" si="28"/>
        <v>0</v>
      </c>
      <c r="G31" s="108">
        <f t="shared" si="28"/>
        <v>0</v>
      </c>
      <c r="H31" s="108">
        <f t="shared" si="28"/>
        <v>0</v>
      </c>
      <c r="I31" s="108">
        <f t="shared" si="28"/>
        <v>0</v>
      </c>
      <c r="J31" s="108">
        <f t="shared" si="28"/>
        <v>0</v>
      </c>
      <c r="K31" s="108">
        <f t="shared" si="28"/>
        <v>0</v>
      </c>
      <c r="L31" s="108">
        <f t="shared" si="28"/>
        <v>-268</v>
      </c>
      <c r="M31" s="108">
        <f t="shared" si="28"/>
        <v>0</v>
      </c>
      <c r="N31" s="108">
        <f t="shared" si="28"/>
        <v>0</v>
      </c>
    </row>
  </sheetData>
  <phoneticPr fontId="0" type="noConversion"/>
  <printOptions gridLines="1" gridLinesSet="0"/>
  <pageMargins left="0.75" right="0.75" top="1" bottom="1" header="0.5" footer="0.5"/>
  <pageSetup scale="16" orientation="landscape" horizontalDpi="4294967294" verticalDpi="300" r:id="rId1"/>
  <headerFooter alignWithMargins="0">
    <oddHeader>&amp;A</oddHeader>
    <oddFooter>96BUD.XLW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5"/>
  <dimension ref="A1:AN31"/>
  <sheetViews>
    <sheetView zoomScale="50" workbookViewId="0">
      <pane xSplit="1" ySplit="4" topLeftCell="E5" activePane="bottomRight" state="frozen"/>
      <selection activeCell="AA2" sqref="AA2"/>
      <selection pane="topRight" activeCell="AA2" sqref="AA2"/>
      <selection pane="bottomLeft" activeCell="AA2" sqref="AA2"/>
      <selection pane="bottomRight" activeCell="N24" sqref="N24"/>
    </sheetView>
  </sheetViews>
  <sheetFormatPr defaultRowHeight="20.25"/>
  <cols>
    <col min="1" max="1" width="41.21875" style="4" bestFit="1" customWidth="1"/>
    <col min="2" max="2" width="17" style="10" bestFit="1" customWidth="1"/>
    <col min="3" max="4" width="18" style="10" bestFit="1" customWidth="1"/>
    <col min="5" max="7" width="14.33203125" style="10" bestFit="1" customWidth="1"/>
    <col min="8" max="10" width="15.44140625" style="10" bestFit="1" customWidth="1"/>
    <col min="11" max="12" width="14.33203125" style="10" bestFit="1" customWidth="1"/>
    <col min="13" max="13" width="13.44140625" style="10" bestFit="1" customWidth="1"/>
    <col min="14" max="14" width="15.44140625" style="10" bestFit="1" customWidth="1"/>
    <col min="15" max="15" width="14.33203125" style="10" bestFit="1" customWidth="1"/>
    <col min="16" max="19" width="13.44140625" style="10" bestFit="1" customWidth="1"/>
    <col min="20" max="22" width="15.44140625" style="10" bestFit="1" customWidth="1"/>
    <col min="23" max="26" width="13.44140625" style="10" bestFit="1" customWidth="1"/>
    <col min="27" max="27" width="14.33203125" style="10" customWidth="1"/>
    <col min="28" max="31" width="13.44140625" style="10" bestFit="1" customWidth="1"/>
    <col min="32" max="34" width="15.44140625" style="10" bestFit="1" customWidth="1"/>
    <col min="35" max="38" width="13.44140625" style="10" bestFit="1" customWidth="1"/>
    <col min="39" max="39" width="14.33203125" style="10" bestFit="1" customWidth="1"/>
    <col min="40" max="40" width="10.109375" style="10" bestFit="1" customWidth="1"/>
    <col min="41" max="16384" width="8.88671875" style="10"/>
  </cols>
  <sheetData>
    <row r="1" spans="1:40">
      <c r="C1" s="13" t="s">
        <v>55</v>
      </c>
      <c r="D1" s="28">
        <v>600000</v>
      </c>
      <c r="E1" s="24"/>
      <c r="F1" s="24"/>
      <c r="G1" s="24"/>
      <c r="H1" s="24"/>
      <c r="I1" s="24"/>
      <c r="J1" s="24"/>
      <c r="K1" s="24"/>
      <c r="L1" s="24"/>
      <c r="M1" s="24"/>
      <c r="N1" s="24"/>
      <c r="O1" s="13" t="s">
        <v>55</v>
      </c>
      <c r="P1" s="28">
        <v>600000</v>
      </c>
      <c r="AA1" s="13" t="s">
        <v>55</v>
      </c>
      <c r="AB1" s="28">
        <v>600000</v>
      </c>
      <c r="AM1" s="13" t="s">
        <v>55</v>
      </c>
      <c r="AN1" s="28">
        <v>600000</v>
      </c>
    </row>
    <row r="2" spans="1:40">
      <c r="C2" s="131" t="s">
        <v>751</v>
      </c>
      <c r="D2" s="132">
        <v>2000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131" t="s">
        <v>860</v>
      </c>
      <c r="P2" s="132">
        <v>1750</v>
      </c>
      <c r="AA2" s="131" t="s">
        <v>884</v>
      </c>
      <c r="AB2" s="132">
        <v>1750</v>
      </c>
      <c r="AM2" s="131" t="s">
        <v>908</v>
      </c>
      <c r="AN2" s="132">
        <v>1750</v>
      </c>
    </row>
    <row r="3" spans="1:40">
      <c r="A3" s="4" t="s">
        <v>1</v>
      </c>
      <c r="B3" s="10">
        <v>30</v>
      </c>
      <c r="C3" s="24">
        <v>31</v>
      </c>
      <c r="D3" s="24">
        <v>31</v>
      </c>
      <c r="E3" s="24">
        <v>30</v>
      </c>
      <c r="F3" s="24">
        <v>31</v>
      </c>
      <c r="G3" s="24"/>
      <c r="H3" s="24"/>
      <c r="I3" s="24"/>
      <c r="J3" s="24"/>
      <c r="K3" s="24"/>
      <c r="L3" s="24">
        <v>30</v>
      </c>
      <c r="M3" s="24">
        <v>31</v>
      </c>
      <c r="N3" s="24">
        <v>30</v>
      </c>
      <c r="O3" s="24">
        <v>31</v>
      </c>
      <c r="P3" s="24">
        <v>31</v>
      </c>
      <c r="Q3" s="10">
        <v>30</v>
      </c>
      <c r="R3" s="10">
        <v>31</v>
      </c>
      <c r="X3" s="10">
        <v>30</v>
      </c>
      <c r="Y3" s="10">
        <v>31</v>
      </c>
      <c r="Z3" s="10">
        <v>30</v>
      </c>
      <c r="AA3" s="10">
        <v>31</v>
      </c>
      <c r="AB3" s="10">
        <v>31</v>
      </c>
      <c r="AC3" s="10">
        <v>30</v>
      </c>
      <c r="AD3" s="10">
        <v>31</v>
      </c>
      <c r="AJ3" s="10">
        <v>30</v>
      </c>
      <c r="AK3" s="10">
        <v>31</v>
      </c>
      <c r="AL3" s="10">
        <v>30</v>
      </c>
      <c r="AM3" s="10">
        <v>31</v>
      </c>
    </row>
    <row r="4" spans="1:40">
      <c r="B4" s="46">
        <v>40695</v>
      </c>
      <c r="C4" s="46">
        <v>40725</v>
      </c>
      <c r="D4" s="46">
        <v>40756</v>
      </c>
      <c r="E4" s="46">
        <v>40787</v>
      </c>
      <c r="F4" s="46">
        <v>40817</v>
      </c>
      <c r="G4" s="46">
        <v>40848</v>
      </c>
      <c r="H4" s="46">
        <v>40878</v>
      </c>
      <c r="I4" s="46">
        <v>40909</v>
      </c>
      <c r="J4" s="46">
        <v>40940</v>
      </c>
      <c r="K4" s="46">
        <v>40969</v>
      </c>
      <c r="L4" s="46">
        <v>41000</v>
      </c>
      <c r="M4" s="46">
        <v>41030</v>
      </c>
      <c r="N4" s="46">
        <v>41061</v>
      </c>
      <c r="O4" s="46">
        <v>41091</v>
      </c>
      <c r="P4" s="46">
        <v>41122</v>
      </c>
      <c r="Q4" s="46">
        <v>41153</v>
      </c>
      <c r="R4" s="46">
        <v>41183</v>
      </c>
      <c r="S4" s="46">
        <v>41214</v>
      </c>
      <c r="T4" s="46">
        <v>41244</v>
      </c>
      <c r="U4" s="46">
        <v>41275</v>
      </c>
      <c r="V4" s="46">
        <v>41306</v>
      </c>
      <c r="W4" s="46">
        <v>41334</v>
      </c>
      <c r="X4" s="46">
        <v>41365</v>
      </c>
      <c r="Y4" s="46">
        <v>41395</v>
      </c>
      <c r="Z4" s="46">
        <v>41426</v>
      </c>
      <c r="AA4" s="46">
        <v>41456</v>
      </c>
      <c r="AB4" s="46">
        <v>41487</v>
      </c>
      <c r="AC4" s="46">
        <v>41518</v>
      </c>
      <c r="AD4" s="46">
        <v>41548</v>
      </c>
      <c r="AE4" s="46">
        <v>41579</v>
      </c>
      <c r="AF4" s="46">
        <v>41609</v>
      </c>
      <c r="AG4" s="46">
        <v>41640</v>
      </c>
      <c r="AH4" s="46">
        <v>41671</v>
      </c>
      <c r="AI4" s="46">
        <v>41699</v>
      </c>
      <c r="AJ4" s="46">
        <v>41730</v>
      </c>
      <c r="AK4" s="46">
        <v>41760</v>
      </c>
      <c r="AL4" s="46">
        <v>41791</v>
      </c>
      <c r="AM4" s="46">
        <v>41821</v>
      </c>
    </row>
    <row r="5" spans="1:40">
      <c r="A5" s="4" t="s">
        <v>343</v>
      </c>
      <c r="B5" s="46"/>
      <c r="C5" s="28">
        <f>$D$2*C3</f>
        <v>62000</v>
      </c>
      <c r="D5" s="28">
        <f>$D$2*D3</f>
        <v>62000</v>
      </c>
      <c r="E5" s="28">
        <f>$D$2*E3</f>
        <v>60000</v>
      </c>
      <c r="F5" s="28">
        <f>$D$2*F3</f>
        <v>62000</v>
      </c>
      <c r="G5" s="55"/>
      <c r="H5" s="55"/>
      <c r="I5" s="55"/>
      <c r="J5" s="55"/>
      <c r="K5" s="55"/>
      <c r="L5" s="28">
        <f>$P$2*L3</f>
        <v>52500</v>
      </c>
      <c r="M5" s="28">
        <f t="shared" ref="M5:R5" si="0">$P$2*M3</f>
        <v>54250</v>
      </c>
      <c r="N5" s="28">
        <f t="shared" si="0"/>
        <v>52500</v>
      </c>
      <c r="O5" s="28">
        <f t="shared" si="0"/>
        <v>54250</v>
      </c>
      <c r="P5" s="28">
        <f t="shared" si="0"/>
        <v>54250</v>
      </c>
      <c r="Q5" s="28">
        <f t="shared" si="0"/>
        <v>52500</v>
      </c>
      <c r="R5" s="28">
        <f t="shared" si="0"/>
        <v>54250</v>
      </c>
      <c r="S5" s="55"/>
      <c r="T5" s="55"/>
      <c r="U5" s="55"/>
      <c r="V5" s="55"/>
      <c r="W5" s="55"/>
      <c r="X5" s="28">
        <f>$AB$2*X3</f>
        <v>52500</v>
      </c>
      <c r="Y5" s="28">
        <f t="shared" ref="Y5:AD5" si="1">$AB$2*Y3</f>
        <v>54250</v>
      </c>
      <c r="Z5" s="28">
        <f t="shared" si="1"/>
        <v>52500</v>
      </c>
      <c r="AA5" s="28">
        <f t="shared" si="1"/>
        <v>54250</v>
      </c>
      <c r="AB5" s="28">
        <f t="shared" si="1"/>
        <v>54250</v>
      </c>
      <c r="AC5" s="28">
        <f t="shared" si="1"/>
        <v>52500</v>
      </c>
      <c r="AD5" s="28">
        <f t="shared" si="1"/>
        <v>54250</v>
      </c>
      <c r="AE5" s="55"/>
      <c r="AF5" s="55"/>
      <c r="AG5" s="55"/>
      <c r="AH5" s="55"/>
      <c r="AI5" s="55"/>
      <c r="AJ5" s="28">
        <f>$AB$2*AJ3</f>
        <v>52500</v>
      </c>
      <c r="AK5" s="28">
        <f>$AB$2*AK3</f>
        <v>54250</v>
      </c>
      <c r="AL5" s="28">
        <f>$AB$2*AL3</f>
        <v>52500</v>
      </c>
      <c r="AM5" s="28">
        <f>$AB$2*AM3</f>
        <v>54250</v>
      </c>
    </row>
    <row r="6" spans="1:40" s="193" customFormat="1">
      <c r="A6" s="223" t="s">
        <v>193</v>
      </c>
      <c r="C6" s="394">
        <v>86517</v>
      </c>
      <c r="D6" s="394">
        <v>1658</v>
      </c>
      <c r="E6" s="394">
        <v>85404</v>
      </c>
      <c r="F6" s="394">
        <v>54365</v>
      </c>
      <c r="G6" s="394">
        <v>7091</v>
      </c>
      <c r="H6" s="451">
        <v>0</v>
      </c>
      <c r="I6" s="394">
        <v>4357</v>
      </c>
      <c r="J6" s="394">
        <v>0</v>
      </c>
      <c r="K6" s="394">
        <v>1229</v>
      </c>
      <c r="L6" s="394">
        <v>0</v>
      </c>
      <c r="M6" s="394">
        <v>77203</v>
      </c>
      <c r="N6" s="394">
        <v>68798</v>
      </c>
      <c r="O6" s="193">
        <f t="shared" ref="O6:R6" si="2">O5</f>
        <v>54250</v>
      </c>
      <c r="P6" s="193">
        <f t="shared" si="2"/>
        <v>54250</v>
      </c>
      <c r="Q6" s="193">
        <f t="shared" si="2"/>
        <v>52500</v>
      </c>
      <c r="R6" s="193">
        <f t="shared" si="2"/>
        <v>54250</v>
      </c>
      <c r="X6" s="193">
        <f t="shared" ref="X6:AD6" si="3">X5</f>
        <v>52500</v>
      </c>
      <c r="Y6" s="193">
        <f t="shared" si="3"/>
        <v>54250</v>
      </c>
      <c r="Z6" s="193">
        <f t="shared" si="3"/>
        <v>52500</v>
      </c>
      <c r="AA6" s="193">
        <f t="shared" si="3"/>
        <v>54250</v>
      </c>
      <c r="AB6" s="193">
        <f t="shared" si="3"/>
        <v>54250</v>
      </c>
      <c r="AC6" s="193">
        <f t="shared" si="3"/>
        <v>52500</v>
      </c>
      <c r="AD6" s="193">
        <f t="shared" si="3"/>
        <v>54250</v>
      </c>
      <c r="AJ6" s="193">
        <f>AJ5</f>
        <v>52500</v>
      </c>
      <c r="AK6" s="193">
        <f>AK5</f>
        <v>54250</v>
      </c>
      <c r="AL6" s="193">
        <f>AL5</f>
        <v>52500</v>
      </c>
      <c r="AM6" s="193">
        <f>AM5</f>
        <v>54250</v>
      </c>
    </row>
    <row r="7" spans="1:40" s="187" customFormat="1">
      <c r="A7" s="221" t="s">
        <v>57</v>
      </c>
      <c r="C7" s="410">
        <f>+'GSS-09'!C7</f>
        <v>4.4915885575167378</v>
      </c>
      <c r="D7" s="410">
        <f>+'GSS-09'!D7</f>
        <v>4.4900414937759336</v>
      </c>
      <c r="E7" s="410">
        <f>+'GSS-09'!E7</f>
        <v>3.9057568103914857</v>
      </c>
      <c r="F7" s="410">
        <f>+'GSS-09'!F7</f>
        <v>3.8421414396536169</v>
      </c>
      <c r="G7" s="410">
        <f>+'GSS-09'!G7</f>
        <v>3.4706060606060607</v>
      </c>
      <c r="H7" s="410">
        <f>+'GSS-09'!H7</f>
        <v>3.3308080808080809</v>
      </c>
      <c r="I7" s="410">
        <f>+'GSS-09'!I7</f>
        <v>2.8922792283015499</v>
      </c>
      <c r="J7" s="410">
        <f>+'GSS-09'!J7</f>
        <v>2.6904040404040406</v>
      </c>
      <c r="K7" s="410">
        <f>+'GSS-09'!K7</f>
        <v>2.4402020202020203</v>
      </c>
      <c r="L7" s="410">
        <f>+'GSS-09'!L7</f>
        <v>2.1504060913705585</v>
      </c>
      <c r="M7" s="410">
        <f>+'GSS-09'!M7</f>
        <v>2.0762549907388346</v>
      </c>
      <c r="N7" s="410">
        <f>+'GSS-09'!N7</f>
        <v>2.4481426775612816</v>
      </c>
      <c r="O7" s="187">
        <f>+'GSS-09'!O7</f>
        <v>2.7515000000000001</v>
      </c>
      <c r="P7" s="187">
        <f>+'GSS-09'!P7</f>
        <v>3.0059999999999998</v>
      </c>
      <c r="Q7" s="187">
        <f>+'GSS-09'!Q7</f>
        <v>2.9609999999999999</v>
      </c>
      <c r="R7" s="187">
        <f>+'GSS-09'!R7</f>
        <v>3.0330000000000004</v>
      </c>
      <c r="X7" s="187">
        <f>+'GSS-09'!X7</f>
        <v>3.4345000000000003</v>
      </c>
      <c r="Y7" s="187">
        <f>+'GSS-09'!Y7</f>
        <v>3.4525000000000001</v>
      </c>
      <c r="Z7" s="187">
        <f>+'GSS-09'!Z7</f>
        <v>3.4875000000000003</v>
      </c>
      <c r="AA7" s="187">
        <f>+'GSS-09'!AA7</f>
        <v>3.5315000000000003</v>
      </c>
      <c r="AB7" s="187">
        <f>+'GSS-09'!AB7</f>
        <v>3.5545</v>
      </c>
      <c r="AC7" s="187">
        <f>+'GSS-09'!AC7</f>
        <v>3.5595000000000003</v>
      </c>
      <c r="AD7" s="187">
        <f>+'GSS-09'!AD7</f>
        <v>3.5935000000000001</v>
      </c>
      <c r="AJ7" s="187">
        <f>+'GSS-09'!AJ7</f>
        <v>3.7490000000000001</v>
      </c>
      <c r="AK7" s="187">
        <f>+'GSS-09'!AK7</f>
        <v>3.766</v>
      </c>
      <c r="AL7" s="187">
        <f>+'GSS-09'!AL7</f>
        <v>3.7909999999999999</v>
      </c>
      <c r="AM7" s="187">
        <f>+'GSS-09'!AM7</f>
        <v>0</v>
      </c>
    </row>
    <row r="8" spans="1:40">
      <c r="A8" s="4" t="s">
        <v>58</v>
      </c>
      <c r="B8" s="25"/>
      <c r="C8" s="25">
        <f t="shared" ref="C8:I8" si="4">+C6*C7</f>
        <v>388598.76723067561</v>
      </c>
      <c r="D8" s="25">
        <f t="shared" si="4"/>
        <v>7444.4887966804981</v>
      </c>
      <c r="E8" s="25">
        <f t="shared" si="4"/>
        <v>333567.25463467446</v>
      </c>
      <c r="F8" s="25">
        <f t="shared" si="4"/>
        <v>208878.01936676889</v>
      </c>
      <c r="G8" s="25">
        <f t="shared" si="4"/>
        <v>24610.067575757577</v>
      </c>
      <c r="H8" s="30">
        <f t="shared" si="4"/>
        <v>0</v>
      </c>
      <c r="I8" s="25">
        <f t="shared" si="4"/>
        <v>12601.660597709853</v>
      </c>
      <c r="J8" s="25">
        <f>+J6*J7</f>
        <v>0</v>
      </c>
      <c r="K8" s="25">
        <f>+K6*K7</f>
        <v>2999.008282828283</v>
      </c>
      <c r="L8" s="25">
        <f t="shared" ref="L8:R8" si="5">+L6*L7</f>
        <v>0</v>
      </c>
      <c r="M8" s="25">
        <f t="shared" si="5"/>
        <v>160293.11405001025</v>
      </c>
      <c r="N8" s="25">
        <f t="shared" si="5"/>
        <v>168427.31993086103</v>
      </c>
      <c r="O8" s="25">
        <f t="shared" si="5"/>
        <v>149268.875</v>
      </c>
      <c r="P8" s="25">
        <f t="shared" si="5"/>
        <v>163075.5</v>
      </c>
      <c r="Q8" s="25">
        <f t="shared" si="5"/>
        <v>155452.5</v>
      </c>
      <c r="R8" s="25">
        <f t="shared" si="5"/>
        <v>164540.25000000003</v>
      </c>
      <c r="X8" s="25">
        <f t="shared" ref="X8:AD8" si="6">+X6*X7</f>
        <v>180311.25000000003</v>
      </c>
      <c r="Y8" s="25">
        <f t="shared" si="6"/>
        <v>187298.125</v>
      </c>
      <c r="Z8" s="25">
        <f t="shared" si="6"/>
        <v>183093.75</v>
      </c>
      <c r="AA8" s="25">
        <f t="shared" si="6"/>
        <v>191583.87500000003</v>
      </c>
      <c r="AB8" s="25">
        <f t="shared" si="6"/>
        <v>192831.625</v>
      </c>
      <c r="AC8" s="25">
        <f t="shared" si="6"/>
        <v>186873.75000000003</v>
      </c>
      <c r="AD8" s="25">
        <f t="shared" si="6"/>
        <v>194947.375</v>
      </c>
      <c r="AJ8" s="25">
        <f>+AJ6*AJ7</f>
        <v>196822.5</v>
      </c>
      <c r="AK8" s="25">
        <f>+AK6*AK7</f>
        <v>204305.5</v>
      </c>
      <c r="AL8" s="25">
        <f>+AL6*AL7</f>
        <v>199027.5</v>
      </c>
      <c r="AM8" s="25">
        <f>+AM6*AM7</f>
        <v>0</v>
      </c>
    </row>
    <row r="9" spans="1:40">
      <c r="A9" s="4" t="s">
        <v>194</v>
      </c>
      <c r="H9" s="150">
        <v>-0.18</v>
      </c>
      <c r="I9" s="150">
        <v>-0.23100000000000001</v>
      </c>
      <c r="J9" s="150">
        <v>-0.189</v>
      </c>
      <c r="K9" s="150">
        <v>-2.5000000000000001E-2</v>
      </c>
      <c r="T9" s="150">
        <v>-0.18</v>
      </c>
      <c r="U9" s="150">
        <v>-0.23100000000000001</v>
      </c>
      <c r="V9" s="150">
        <v>-0.189</v>
      </c>
      <c r="W9" s="150">
        <v>-2.5000000000000001E-2</v>
      </c>
      <c r="AF9" s="150">
        <v>-0.18</v>
      </c>
      <c r="AG9" s="150">
        <v>-0.23100000000000001</v>
      </c>
      <c r="AH9" s="150">
        <v>-0.189</v>
      </c>
      <c r="AI9" s="150">
        <v>-2.5000000000000001E-2</v>
      </c>
    </row>
    <row r="10" spans="1:40">
      <c r="A10" s="4" t="s">
        <v>344</v>
      </c>
      <c r="H10" s="108">
        <f>H9*$D$1</f>
        <v>-108000</v>
      </c>
      <c r="I10" s="108">
        <f>I9*$D$1</f>
        <v>-138600</v>
      </c>
      <c r="J10" s="108">
        <f>J9*$D$1</f>
        <v>-113400</v>
      </c>
      <c r="K10" s="108">
        <f>K9*$D$1</f>
        <v>-15000</v>
      </c>
      <c r="T10" s="107">
        <f>$P$1*T9</f>
        <v>-108000</v>
      </c>
      <c r="U10" s="107">
        <f>$P$1*U9</f>
        <v>-138600</v>
      </c>
      <c r="V10" s="107">
        <f>$P$1*V9</f>
        <v>-113400</v>
      </c>
      <c r="W10" s="107">
        <f>$P$1*W9</f>
        <v>-15000</v>
      </c>
      <c r="AF10" s="107">
        <f>$AB$1*AF9</f>
        <v>-108000</v>
      </c>
      <c r="AG10" s="107">
        <f>$AB$1*AG9</f>
        <v>-138600</v>
      </c>
      <c r="AH10" s="107">
        <f>$AB$1*AH9</f>
        <v>-113400</v>
      </c>
      <c r="AI10" s="107">
        <f>$AB$1*AI9</f>
        <v>-15000</v>
      </c>
    </row>
    <row r="11" spans="1:40" s="225" customFormat="1">
      <c r="A11" s="223" t="s">
        <v>195</v>
      </c>
      <c r="G11" s="413">
        <v>0</v>
      </c>
      <c r="H11" s="413">
        <v>-96812</v>
      </c>
      <c r="I11" s="413">
        <v>-134885</v>
      </c>
      <c r="J11" s="413">
        <v>-44177</v>
      </c>
      <c r="K11" s="413">
        <v>-40650</v>
      </c>
      <c r="L11" s="413">
        <v>-86824</v>
      </c>
      <c r="M11" s="225">
        <v>0</v>
      </c>
      <c r="N11" s="225">
        <v>0</v>
      </c>
      <c r="T11" s="194">
        <f>T10</f>
        <v>-108000</v>
      </c>
      <c r="U11" s="194">
        <f>U10</f>
        <v>-138600</v>
      </c>
      <c r="V11" s="194">
        <f>V10</f>
        <v>-113400</v>
      </c>
      <c r="W11" s="194">
        <f>W10</f>
        <v>-15000</v>
      </c>
      <c r="AF11" s="194">
        <f>AF10</f>
        <v>-108000</v>
      </c>
      <c r="AG11" s="194">
        <f>AG10</f>
        <v>-138600</v>
      </c>
      <c r="AH11" s="194">
        <f>AH10</f>
        <v>-113400</v>
      </c>
      <c r="AI11" s="194">
        <f>AI10</f>
        <v>-15000</v>
      </c>
    </row>
    <row r="12" spans="1:40">
      <c r="A12" s="4" t="s">
        <v>59</v>
      </c>
      <c r="G12" s="20">
        <f t="shared" ref="G12:N12" si="7">+F20</f>
        <v>4.4793749261215323</v>
      </c>
      <c r="H12" s="20">
        <f t="shared" si="7"/>
        <v>4.467498111104339</v>
      </c>
      <c r="I12" s="20">
        <f t="shared" si="7"/>
        <v>4.467498111104339</v>
      </c>
      <c r="J12" s="20">
        <f t="shared" si="7"/>
        <v>4.4491932880191829</v>
      </c>
      <c r="K12" s="20">
        <f t="shared" si="7"/>
        <v>4.4491932880191829</v>
      </c>
      <c r="L12" s="20">
        <f t="shared" si="7"/>
        <v>4.4407185682965631</v>
      </c>
      <c r="M12" s="20">
        <f t="shared" si="7"/>
        <v>4.4407185682965631</v>
      </c>
      <c r="N12" s="20">
        <f t="shared" si="7"/>
        <v>3.7927617826064526</v>
      </c>
      <c r="S12" s="20">
        <f>+R20</f>
        <v>3.3039377836405537</v>
      </c>
      <c r="T12" s="20">
        <f>+S20</f>
        <v>3.3039377836405537</v>
      </c>
      <c r="U12" s="20">
        <f>+T20</f>
        <v>3.3039377836405541</v>
      </c>
      <c r="V12" s="20">
        <f>+U20</f>
        <v>3.3039377836405537</v>
      </c>
      <c r="W12" s="20">
        <f>+V20</f>
        <v>3.3039377836405537</v>
      </c>
      <c r="AE12" s="20">
        <f>+AD20</f>
        <v>3.4447820704886305</v>
      </c>
      <c r="AF12" s="20">
        <f>+AE20</f>
        <v>3.4447820704886305</v>
      </c>
      <c r="AG12" s="20">
        <f>+AF20</f>
        <v>3.4447820704886309</v>
      </c>
      <c r="AH12" s="20">
        <f>+AG20</f>
        <v>3.4447820704886309</v>
      </c>
      <c r="AI12" s="20">
        <f>+AH20</f>
        <v>3.4447820704886305</v>
      </c>
    </row>
    <row r="13" spans="1:40">
      <c r="A13" s="4" t="s">
        <v>60</v>
      </c>
      <c r="G13" s="30">
        <f t="shared" ref="G13:L13" si="8">G11*G12</f>
        <v>0</v>
      </c>
      <c r="H13" s="30">
        <f t="shared" si="8"/>
        <v>-432507.42713223328</v>
      </c>
      <c r="I13" s="30">
        <f t="shared" si="8"/>
        <v>-602598.48271630879</v>
      </c>
      <c r="J13" s="30">
        <f t="shared" si="8"/>
        <v>-196552.01188482344</v>
      </c>
      <c r="K13" s="30">
        <f t="shared" si="8"/>
        <v>-180859.70715797978</v>
      </c>
      <c r="L13" s="30">
        <f t="shared" si="8"/>
        <v>-385560.94897378079</v>
      </c>
      <c r="M13" s="30">
        <f t="shared" ref="M13:N13" si="9">M11*M12</f>
        <v>0</v>
      </c>
      <c r="N13" s="30">
        <f t="shared" si="9"/>
        <v>0</v>
      </c>
      <c r="S13" s="30">
        <f>S11*S12</f>
        <v>0</v>
      </c>
      <c r="T13" s="30">
        <f>T11*T12</f>
        <v>-356825.28063317982</v>
      </c>
      <c r="U13" s="30">
        <f>U11*U12</f>
        <v>-457925.77681258082</v>
      </c>
      <c r="V13" s="30">
        <f>V11*V12</f>
        <v>-374666.54466483876</v>
      </c>
      <c r="W13" s="30">
        <f>W11*W12</f>
        <v>-49559.066754608306</v>
      </c>
      <c r="AE13" s="30">
        <f>AE11*AE12</f>
        <v>0</v>
      </c>
      <c r="AF13" s="30">
        <f>AF11*AF12</f>
        <v>-372036.46361277212</v>
      </c>
      <c r="AG13" s="30">
        <f>AG11*AG12</f>
        <v>-477446.79496972426</v>
      </c>
      <c r="AH13" s="30">
        <f>AH11*AH12</f>
        <v>-390638.28679341072</v>
      </c>
      <c r="AI13" s="30">
        <f>AI11*AI12</f>
        <v>-51671.73105732946</v>
      </c>
    </row>
    <row r="14" spans="1:40" s="22" customFormat="1">
      <c r="A14" s="4" t="s">
        <v>62</v>
      </c>
      <c r="H14" s="108"/>
    </row>
    <row r="15" spans="1:40" s="16" customFormat="1">
      <c r="A15" s="7" t="s">
        <v>63</v>
      </c>
    </row>
    <row r="16" spans="1:40">
      <c r="A16" s="4" t="s">
        <v>64</v>
      </c>
      <c r="H16" s="30"/>
    </row>
    <row r="17" spans="1:38">
      <c r="A17" s="4" t="s">
        <v>347</v>
      </c>
      <c r="B17" s="124">
        <f>B18/D1</f>
        <v>0.61207666666666671</v>
      </c>
      <c r="C17" s="124">
        <f t="shared" ref="C17:N17" si="10">C18/$D$1</f>
        <v>0.75627166666666668</v>
      </c>
      <c r="D17" s="124">
        <f t="shared" si="10"/>
        <v>0.75903500000000002</v>
      </c>
      <c r="E17" s="124">
        <f t="shared" si="10"/>
        <v>0.90137500000000004</v>
      </c>
      <c r="F17" s="134">
        <f t="shared" si="10"/>
        <v>0.99198333333333333</v>
      </c>
      <c r="G17" s="124">
        <f t="shared" si="10"/>
        <v>1.0038016666666667</v>
      </c>
      <c r="H17" s="124">
        <f t="shared" si="10"/>
        <v>0.84244833333333335</v>
      </c>
      <c r="I17" s="124">
        <f t="shared" si="10"/>
        <v>0.62490166666666669</v>
      </c>
      <c r="J17" s="124">
        <f t="shared" si="10"/>
        <v>0.55127333333333328</v>
      </c>
      <c r="K17" s="134">
        <f t="shared" si="10"/>
        <v>0.48557166666666668</v>
      </c>
      <c r="L17" s="124">
        <f t="shared" si="10"/>
        <v>0.34086499999999997</v>
      </c>
      <c r="M17" s="124">
        <f t="shared" si="10"/>
        <v>0.46953666666666666</v>
      </c>
      <c r="N17" s="124">
        <f t="shared" si="10"/>
        <v>0.58420000000000005</v>
      </c>
      <c r="O17" s="124">
        <f>O18/$P$1</f>
        <v>0.67461666666666664</v>
      </c>
      <c r="P17" s="124">
        <f t="shared" ref="P17:AL17" si="11">P18/$P$1</f>
        <v>0.76503333333333334</v>
      </c>
      <c r="Q17" s="124">
        <f t="shared" si="11"/>
        <v>0.85253333333333337</v>
      </c>
      <c r="R17" s="134">
        <f t="shared" si="11"/>
        <v>0.94294999999999995</v>
      </c>
      <c r="S17" s="124">
        <f t="shared" si="11"/>
        <v>0.94294999999999995</v>
      </c>
      <c r="T17" s="124">
        <f t="shared" si="11"/>
        <v>0.76295000000000002</v>
      </c>
      <c r="U17" s="124">
        <f t="shared" si="11"/>
        <v>0.53195000000000003</v>
      </c>
      <c r="V17" s="124">
        <f t="shared" si="11"/>
        <v>0.34294999999999998</v>
      </c>
      <c r="W17" s="134">
        <f t="shared" si="11"/>
        <v>0.31795000000000001</v>
      </c>
      <c r="X17" s="124">
        <f t="shared" si="11"/>
        <v>0.40544999999999998</v>
      </c>
      <c r="Y17" s="124">
        <f t="shared" si="11"/>
        <v>0.49586666666666668</v>
      </c>
      <c r="Z17" s="124">
        <f t="shared" si="11"/>
        <v>0.5833666666666667</v>
      </c>
      <c r="AA17" s="124">
        <f t="shared" si="11"/>
        <v>0.67378333333333329</v>
      </c>
      <c r="AB17" s="124">
        <f t="shared" si="11"/>
        <v>0.76419999999999999</v>
      </c>
      <c r="AC17" s="124">
        <f t="shared" si="11"/>
        <v>0.85170000000000001</v>
      </c>
      <c r="AD17" s="134">
        <f t="shared" si="11"/>
        <v>0.94211666666666671</v>
      </c>
      <c r="AE17" s="124">
        <f t="shared" si="11"/>
        <v>0.94211666666666671</v>
      </c>
      <c r="AF17" s="124">
        <f t="shared" si="11"/>
        <v>0.76211666666666666</v>
      </c>
      <c r="AG17" s="124">
        <f t="shared" si="11"/>
        <v>0.53111666666666668</v>
      </c>
      <c r="AH17" s="124">
        <f t="shared" si="11"/>
        <v>0.34211666666666668</v>
      </c>
      <c r="AI17" s="134">
        <f t="shared" si="11"/>
        <v>0.31711666666666666</v>
      </c>
      <c r="AJ17" s="124">
        <f t="shared" si="11"/>
        <v>0.40461666666666668</v>
      </c>
      <c r="AK17" s="124">
        <f t="shared" si="11"/>
        <v>0.49503333333333333</v>
      </c>
      <c r="AL17" s="124">
        <f t="shared" si="11"/>
        <v>0.58253333333333335</v>
      </c>
    </row>
    <row r="18" spans="1:38">
      <c r="A18" s="4" t="s">
        <v>345</v>
      </c>
      <c r="B18" s="132">
        <v>367246</v>
      </c>
      <c r="C18" s="394">
        <f t="shared" ref="C18:N18" si="12">+B18+C6+C11</f>
        <v>453763</v>
      </c>
      <c r="D18" s="394">
        <f t="shared" si="12"/>
        <v>455421</v>
      </c>
      <c r="E18" s="394">
        <f t="shared" si="12"/>
        <v>540825</v>
      </c>
      <c r="F18" s="394">
        <f t="shared" si="12"/>
        <v>595190</v>
      </c>
      <c r="G18" s="394">
        <f t="shared" si="12"/>
        <v>602281</v>
      </c>
      <c r="H18" s="394">
        <f>+G18+H6+H11+H14</f>
        <v>505469</v>
      </c>
      <c r="I18" s="394">
        <f t="shared" si="12"/>
        <v>374941</v>
      </c>
      <c r="J18" s="394">
        <f t="shared" si="12"/>
        <v>330764</v>
      </c>
      <c r="K18" s="394">
        <f t="shared" si="12"/>
        <v>291343</v>
      </c>
      <c r="L18" s="394">
        <f t="shared" si="12"/>
        <v>204519</v>
      </c>
      <c r="M18" s="394">
        <f t="shared" si="12"/>
        <v>281722</v>
      </c>
      <c r="N18" s="394">
        <f t="shared" si="12"/>
        <v>350520</v>
      </c>
      <c r="O18" s="22">
        <f t="shared" ref="O18:Z18" si="13">+N18+O6+O11</f>
        <v>404770</v>
      </c>
      <c r="P18" s="22">
        <f t="shared" si="13"/>
        <v>459020</v>
      </c>
      <c r="Q18" s="22">
        <f t="shared" si="13"/>
        <v>511520</v>
      </c>
      <c r="R18" s="22">
        <f t="shared" si="13"/>
        <v>565770</v>
      </c>
      <c r="S18" s="22">
        <f t="shared" si="13"/>
        <v>565770</v>
      </c>
      <c r="T18" s="22">
        <f t="shared" si="13"/>
        <v>457770</v>
      </c>
      <c r="U18" s="22">
        <f t="shared" si="13"/>
        <v>319170</v>
      </c>
      <c r="V18" s="22">
        <f t="shared" si="13"/>
        <v>205770</v>
      </c>
      <c r="W18" s="22">
        <f t="shared" si="13"/>
        <v>190770</v>
      </c>
      <c r="X18" s="22">
        <f t="shared" si="13"/>
        <v>243270</v>
      </c>
      <c r="Y18" s="22">
        <f t="shared" si="13"/>
        <v>297520</v>
      </c>
      <c r="Z18" s="22">
        <f t="shared" si="13"/>
        <v>350020</v>
      </c>
      <c r="AA18" s="22">
        <f t="shared" ref="AA18:AI18" si="14">+Z18+AA6+AA11</f>
        <v>404270</v>
      </c>
      <c r="AB18" s="22">
        <f t="shared" si="14"/>
        <v>458520</v>
      </c>
      <c r="AC18" s="22">
        <f t="shared" si="14"/>
        <v>511020</v>
      </c>
      <c r="AD18" s="22">
        <f t="shared" si="14"/>
        <v>565270</v>
      </c>
      <c r="AE18" s="22">
        <f t="shared" si="14"/>
        <v>565270</v>
      </c>
      <c r="AF18" s="22">
        <f t="shared" si="14"/>
        <v>457270</v>
      </c>
      <c r="AG18" s="22">
        <f t="shared" si="14"/>
        <v>318670</v>
      </c>
      <c r="AH18" s="22">
        <f t="shared" si="14"/>
        <v>205270</v>
      </c>
      <c r="AI18" s="22">
        <f t="shared" si="14"/>
        <v>190270</v>
      </c>
      <c r="AJ18" s="22">
        <f>+AI18+AJ6+AJ11</f>
        <v>242770</v>
      </c>
      <c r="AK18" s="22">
        <f>+AJ18+AK6+AK11</f>
        <v>297020</v>
      </c>
      <c r="AL18" s="22">
        <f>+AK18+AL6+AL11</f>
        <v>349520</v>
      </c>
    </row>
    <row r="19" spans="1:38" s="32" customFormat="1">
      <c r="A19" s="4" t="s">
        <v>346</v>
      </c>
      <c r="B19" s="186">
        <v>1727590.632249475</v>
      </c>
      <c r="C19" s="393">
        <f t="shared" ref="C19:N19" si="15">+B19+C8+C13</f>
        <v>2116189.3994801505</v>
      </c>
      <c r="D19" s="393">
        <f t="shared" si="15"/>
        <v>2123633.8882768312</v>
      </c>
      <c r="E19" s="393">
        <f t="shared" si="15"/>
        <v>2457201.1429115059</v>
      </c>
      <c r="F19" s="393">
        <f t="shared" si="15"/>
        <v>2666079.162278275</v>
      </c>
      <c r="G19" s="393">
        <f t="shared" si="15"/>
        <v>2690689.2298540324</v>
      </c>
      <c r="H19" s="393">
        <f>+G19+H8+H13+H16</f>
        <v>2258181.8027217994</v>
      </c>
      <c r="I19" s="393">
        <f t="shared" si="15"/>
        <v>1668184.9806032004</v>
      </c>
      <c r="J19" s="393">
        <f t="shared" si="15"/>
        <v>1471632.9687183769</v>
      </c>
      <c r="K19" s="393">
        <f t="shared" si="15"/>
        <v>1293772.2698432256</v>
      </c>
      <c r="L19" s="393">
        <f t="shared" si="15"/>
        <v>908211.32086944487</v>
      </c>
      <c r="M19" s="393">
        <f t="shared" si="15"/>
        <v>1068504.4349194551</v>
      </c>
      <c r="N19" s="393">
        <f t="shared" si="15"/>
        <v>1236931.7548503161</v>
      </c>
      <c r="O19" s="32">
        <f t="shared" ref="O19:Z19" si="16">+N19+O8+O13</f>
        <v>1386200.6298503161</v>
      </c>
      <c r="P19" s="32">
        <f t="shared" si="16"/>
        <v>1549276.1298503161</v>
      </c>
      <c r="Q19" s="32">
        <f t="shared" si="16"/>
        <v>1704728.6298503161</v>
      </c>
      <c r="R19" s="32">
        <f t="shared" si="16"/>
        <v>1869268.8798503161</v>
      </c>
      <c r="S19" s="32">
        <f t="shared" si="16"/>
        <v>1869268.8798503161</v>
      </c>
      <c r="T19" s="32">
        <f t="shared" si="16"/>
        <v>1512443.5992171364</v>
      </c>
      <c r="U19" s="32">
        <f t="shared" si="16"/>
        <v>1054517.8224045555</v>
      </c>
      <c r="V19" s="32">
        <f t="shared" si="16"/>
        <v>679851.27773971669</v>
      </c>
      <c r="W19" s="32">
        <f t="shared" si="16"/>
        <v>630292.2109851084</v>
      </c>
      <c r="X19" s="32">
        <f t="shared" si="16"/>
        <v>810603.4609851084</v>
      </c>
      <c r="Y19" s="32">
        <f t="shared" si="16"/>
        <v>997901.5859851084</v>
      </c>
      <c r="Z19" s="32">
        <f t="shared" si="16"/>
        <v>1180995.3359851083</v>
      </c>
      <c r="AA19" s="32">
        <f t="shared" ref="AA19:AI19" si="17">+Z19+AA8+AA13</f>
        <v>1372579.2109851083</v>
      </c>
      <c r="AB19" s="32">
        <f t="shared" si="17"/>
        <v>1565410.8359851083</v>
      </c>
      <c r="AC19" s="32">
        <f t="shared" si="17"/>
        <v>1752284.5859851083</v>
      </c>
      <c r="AD19" s="32">
        <f t="shared" si="17"/>
        <v>1947231.9609851083</v>
      </c>
      <c r="AE19" s="32">
        <f t="shared" si="17"/>
        <v>1947231.9609851083</v>
      </c>
      <c r="AF19" s="32">
        <f t="shared" si="17"/>
        <v>1575195.4973723362</v>
      </c>
      <c r="AG19" s="32">
        <f t="shared" si="17"/>
        <v>1097748.702402612</v>
      </c>
      <c r="AH19" s="32">
        <f t="shared" si="17"/>
        <v>707110.41560920118</v>
      </c>
      <c r="AI19" s="32">
        <f t="shared" si="17"/>
        <v>655438.68455187173</v>
      </c>
      <c r="AJ19" s="32">
        <f>+AI19+AJ8+AJ13</f>
        <v>852261.18455187173</v>
      </c>
      <c r="AK19" s="32">
        <f>+AJ19+AK8+AK13</f>
        <v>1056566.6845518718</v>
      </c>
      <c r="AL19" s="32">
        <f>+AK19+AL8+AL13</f>
        <v>1255594.1845518718</v>
      </c>
    </row>
    <row r="20" spans="1:38">
      <c r="A20" s="4" t="s">
        <v>65</v>
      </c>
      <c r="B20" s="20">
        <f>+B19/B18</f>
        <v>4.7041782136482766</v>
      </c>
      <c r="C20" s="20">
        <f t="shared" ref="C20:O20" si="18">+C19/C18</f>
        <v>4.6636446768029796</v>
      </c>
      <c r="D20" s="20">
        <f t="shared" si="18"/>
        <v>4.6630126592248295</v>
      </c>
      <c r="E20" s="20">
        <f t="shared" si="18"/>
        <v>4.5434311337521489</v>
      </c>
      <c r="F20" s="135">
        <f t="shared" si="18"/>
        <v>4.4793749261215323</v>
      </c>
      <c r="G20" s="20">
        <f t="shared" si="18"/>
        <v>4.467498111104339</v>
      </c>
      <c r="H20" s="20">
        <f t="shared" si="18"/>
        <v>4.467498111104339</v>
      </c>
      <c r="I20" s="20">
        <f t="shared" si="18"/>
        <v>4.4491932880191829</v>
      </c>
      <c r="J20" s="20">
        <f t="shared" si="18"/>
        <v>4.4491932880191829</v>
      </c>
      <c r="K20" s="21">
        <f t="shared" si="18"/>
        <v>4.4407185682965631</v>
      </c>
      <c r="L20" s="20">
        <f t="shared" si="18"/>
        <v>4.4407185682965631</v>
      </c>
      <c r="M20" s="20">
        <f t="shared" si="18"/>
        <v>3.7927617826064526</v>
      </c>
      <c r="N20" s="20">
        <f t="shared" si="18"/>
        <v>3.5288478684534863</v>
      </c>
      <c r="O20" s="20">
        <f t="shared" si="18"/>
        <v>3.4246624746159946</v>
      </c>
      <c r="P20" s="20">
        <f t="shared" ref="P20:Z20" si="19">+P19/P18</f>
        <v>3.3751821921709646</v>
      </c>
      <c r="Q20" s="20">
        <f t="shared" si="19"/>
        <v>3.3326724856316785</v>
      </c>
      <c r="R20" s="135">
        <f t="shared" si="19"/>
        <v>3.3039377836405537</v>
      </c>
      <c r="S20" s="20">
        <f t="shared" si="19"/>
        <v>3.3039377836405537</v>
      </c>
      <c r="T20" s="20">
        <f t="shared" si="19"/>
        <v>3.3039377836405541</v>
      </c>
      <c r="U20" s="20">
        <f t="shared" si="19"/>
        <v>3.3039377836405537</v>
      </c>
      <c r="V20" s="20">
        <f t="shared" si="19"/>
        <v>3.3039377836405537</v>
      </c>
      <c r="W20" s="20">
        <f t="shared" si="19"/>
        <v>3.3039377836405537</v>
      </c>
      <c r="X20" s="20">
        <f t="shared" si="19"/>
        <v>3.3321143625811174</v>
      </c>
      <c r="Y20" s="20">
        <f t="shared" si="19"/>
        <v>3.3540655619289743</v>
      </c>
      <c r="Z20" s="20">
        <f t="shared" si="19"/>
        <v>3.3740795839812248</v>
      </c>
      <c r="AA20" s="20">
        <f t="shared" ref="AA20:AL20" si="20">+AA19/AA18</f>
        <v>3.3952042223887706</v>
      </c>
      <c r="AB20" s="20">
        <f t="shared" si="20"/>
        <v>3.4140513739533898</v>
      </c>
      <c r="AC20" s="20">
        <f t="shared" si="20"/>
        <v>3.4289941411003646</v>
      </c>
      <c r="AD20" s="135">
        <f t="shared" si="20"/>
        <v>3.4447820704886305</v>
      </c>
      <c r="AE20" s="20">
        <f t="shared" si="20"/>
        <v>3.4447820704886305</v>
      </c>
      <c r="AF20" s="20">
        <f t="shared" si="20"/>
        <v>3.4447820704886309</v>
      </c>
      <c r="AG20" s="20">
        <f t="shared" si="20"/>
        <v>3.4447820704886309</v>
      </c>
      <c r="AH20" s="20">
        <f t="shared" si="20"/>
        <v>3.4447820704886305</v>
      </c>
      <c r="AI20" s="21">
        <f t="shared" si="20"/>
        <v>3.4447820704886305</v>
      </c>
      <c r="AJ20" s="20">
        <f t="shared" si="20"/>
        <v>3.5105704351932765</v>
      </c>
      <c r="AK20" s="20">
        <f t="shared" si="20"/>
        <v>3.5572240406432964</v>
      </c>
      <c r="AL20" s="20">
        <f t="shared" si="20"/>
        <v>3.5923385916453188</v>
      </c>
    </row>
    <row r="21" spans="1:38">
      <c r="A21" s="112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0"/>
      <c r="N21" s="20"/>
      <c r="O21" s="20"/>
      <c r="P21" s="20"/>
      <c r="Q21" s="20"/>
      <c r="R21" s="18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180"/>
      <c r="AE21" s="20"/>
      <c r="AF21" s="20"/>
      <c r="AG21" s="20"/>
      <c r="AH21" s="20"/>
      <c r="AI21" s="20"/>
      <c r="AJ21" s="20"/>
      <c r="AK21" s="20"/>
      <c r="AL21" s="20"/>
    </row>
    <row r="22" spans="1:38" s="22" customFormat="1">
      <c r="A22" s="31" t="s">
        <v>447</v>
      </c>
      <c r="B22" s="394">
        <f>734492/2</f>
        <v>367246</v>
      </c>
      <c r="C22" s="394">
        <f>838773/2</f>
        <v>419386.5</v>
      </c>
      <c r="D22" s="394">
        <f>933431/2</f>
        <v>466715.5</v>
      </c>
      <c r="E22" s="432">
        <f>1067084/2</f>
        <v>533542</v>
      </c>
      <c r="F22" s="394">
        <f>1172166/2</f>
        <v>586083</v>
      </c>
      <c r="G22" s="394">
        <f>1182835/2</f>
        <v>591417.5</v>
      </c>
      <c r="H22" s="394">
        <f>908024/2</f>
        <v>454012</v>
      </c>
      <c r="I22" s="394">
        <f>758666/2</f>
        <v>379333</v>
      </c>
      <c r="J22" s="394">
        <f>531407/2</f>
        <v>265703.5</v>
      </c>
      <c r="K22" s="394">
        <f>498880/2</f>
        <v>249440</v>
      </c>
      <c r="L22" s="394">
        <f>417898/2</f>
        <v>208949</v>
      </c>
      <c r="M22" s="394">
        <f>504431/2</f>
        <v>252215.5</v>
      </c>
      <c r="N22" s="394">
        <f>679012/2</f>
        <v>339506</v>
      </c>
      <c r="R22" s="131"/>
      <c r="AD22" s="131"/>
    </row>
    <row r="23" spans="1:38" s="32" customFormat="1">
      <c r="A23" s="112" t="s">
        <v>445</v>
      </c>
      <c r="B23" s="393">
        <f>3455181.26449895/2</f>
        <v>1727590.632249475</v>
      </c>
      <c r="C23" s="393">
        <f>3916906.24449895/2</f>
        <v>1958453.122249475</v>
      </c>
      <c r="D23" s="393">
        <f>4336288.51449895/2</f>
        <v>2168144.257249475</v>
      </c>
      <c r="E23" s="433">
        <f>4865661.31449895/2</f>
        <v>2432830.6572494749</v>
      </c>
      <c r="F23" s="393">
        <f>5273211.34329895/2</f>
        <v>2636605.6716494751</v>
      </c>
      <c r="G23" s="393">
        <f>5311898.20329895/2</f>
        <v>2655949.1016494748</v>
      </c>
      <c r="H23" s="393">
        <f>4077774.16637155/2</f>
        <v>2038887.083185775</v>
      </c>
      <c r="I23" s="393">
        <f>3399221.14225118/2</f>
        <v>1699610.57112559</v>
      </c>
      <c r="J23" s="393">
        <f>2380980.12159464/2</f>
        <v>1190490.06079732</v>
      </c>
      <c r="K23" s="393">
        <f>2222562.68759782/2</f>
        <v>1111281.34379891</v>
      </c>
      <c r="L23" s="393">
        <f>1850624.45260071/2</f>
        <v>925312.22630035505</v>
      </c>
      <c r="M23" s="393">
        <f>2047841.83260071/2</f>
        <v>1023920.916300355</v>
      </c>
      <c r="N23" s="393">
        <f>2497003.83260071/2</f>
        <v>1248501.916300355</v>
      </c>
      <c r="R23" s="197"/>
      <c r="AD23" s="197"/>
    </row>
    <row r="24" spans="1:38">
      <c r="A24" s="1" t="s">
        <v>740</v>
      </c>
      <c r="B24" s="228">
        <f t="shared" ref="B24:I24" si="21">B23/B22</f>
        <v>4.7041782136482766</v>
      </c>
      <c r="C24" s="228">
        <f t="shared" si="21"/>
        <v>4.6698048750960632</v>
      </c>
      <c r="D24" s="228">
        <f t="shared" si="21"/>
        <v>4.6455372860971513</v>
      </c>
      <c r="E24" s="228">
        <f t="shared" si="21"/>
        <v>4.5597734709722477</v>
      </c>
      <c r="F24" s="228">
        <f t="shared" si="21"/>
        <v>4.4986898982728984</v>
      </c>
      <c r="G24" s="228">
        <f t="shared" si="21"/>
        <v>4.4908192632945001</v>
      </c>
      <c r="H24" s="228">
        <f t="shared" si="21"/>
        <v>4.4908220117216615</v>
      </c>
      <c r="I24" s="228">
        <f t="shared" si="21"/>
        <v>4.4805238962220262</v>
      </c>
      <c r="J24" s="228">
        <f>J23/J22</f>
        <v>4.4805208090872721</v>
      </c>
      <c r="K24" s="228">
        <f>K23/K22</f>
        <v>4.4551048099699733</v>
      </c>
      <c r="L24" s="228">
        <f>L23/L22</f>
        <v>4.4284118435616113</v>
      </c>
      <c r="M24" s="228">
        <f>M23/M22</f>
        <v>4.059706545792606</v>
      </c>
      <c r="N24" s="228">
        <f>N23/N22</f>
        <v>3.6774075165103266</v>
      </c>
    </row>
    <row r="25" spans="1:38" s="22" customFormat="1">
      <c r="A25" s="1"/>
      <c r="B25" s="29"/>
    </row>
    <row r="26" spans="1:38" s="108" customFormat="1">
      <c r="A26" s="105" t="s">
        <v>448</v>
      </c>
      <c r="B26" s="108">
        <f t="shared" ref="B26:C28" si="22">B18-B22</f>
        <v>0</v>
      </c>
      <c r="C26" s="108">
        <f t="shared" si="22"/>
        <v>34376.5</v>
      </c>
      <c r="D26" s="108">
        <f t="shared" ref="D26:E28" si="23">D18-D22</f>
        <v>-11294.5</v>
      </c>
      <c r="E26" s="108">
        <f t="shared" si="23"/>
        <v>7283</v>
      </c>
      <c r="F26" s="108">
        <f t="shared" ref="F26:G28" si="24">F18-F22</f>
        <v>9107</v>
      </c>
      <c r="G26" s="108">
        <f t="shared" si="24"/>
        <v>10863.5</v>
      </c>
      <c r="H26" s="108">
        <f t="shared" ref="H26:I28" si="25">H18-H22</f>
        <v>51457</v>
      </c>
      <c r="I26" s="108">
        <f t="shared" si="25"/>
        <v>-4392</v>
      </c>
      <c r="J26" s="108">
        <f t="shared" ref="J26:K28" si="26">J18-J22</f>
        <v>65060.5</v>
      </c>
      <c r="K26" s="108">
        <f t="shared" si="26"/>
        <v>41903</v>
      </c>
      <c r="L26" s="108">
        <f t="shared" ref="L26:M28" si="27">L18-L22</f>
        <v>-4430</v>
      </c>
      <c r="M26" s="108">
        <f t="shared" si="27"/>
        <v>29506.5</v>
      </c>
      <c r="N26" s="108">
        <f t="shared" ref="N26" si="28">N18-N22</f>
        <v>11014</v>
      </c>
    </row>
    <row r="27" spans="1:38" s="30" customFormat="1">
      <c r="A27" s="110" t="s">
        <v>449</v>
      </c>
      <c r="B27" s="30">
        <f t="shared" si="22"/>
        <v>0</v>
      </c>
      <c r="C27" s="30">
        <f t="shared" si="22"/>
        <v>157736.27723067557</v>
      </c>
      <c r="D27" s="30">
        <f t="shared" si="23"/>
        <v>-44510.368972643744</v>
      </c>
      <c r="E27" s="30">
        <f t="shared" si="23"/>
        <v>24370.485662030987</v>
      </c>
      <c r="F27" s="30">
        <f t="shared" si="24"/>
        <v>29473.490628799889</v>
      </c>
      <c r="G27" s="30">
        <f t="shared" si="24"/>
        <v>34740.128204557579</v>
      </c>
      <c r="H27" s="30">
        <f t="shared" si="25"/>
        <v>219294.71953602438</v>
      </c>
      <c r="I27" s="30">
        <f t="shared" si="25"/>
        <v>-31425.590522389626</v>
      </c>
      <c r="J27" s="30">
        <f t="shared" si="26"/>
        <v>281142.90792105696</v>
      </c>
      <c r="K27" s="30">
        <f t="shared" si="26"/>
        <v>182490.92604431557</v>
      </c>
      <c r="L27" s="30">
        <f t="shared" si="27"/>
        <v>-17100.905430910178</v>
      </c>
      <c r="M27" s="30">
        <f t="shared" si="27"/>
        <v>44583.518619100098</v>
      </c>
      <c r="N27" s="30">
        <f t="shared" ref="N27" si="29">N19-N23</f>
        <v>-11570.161450038897</v>
      </c>
    </row>
    <row r="28" spans="1:38">
      <c r="A28" s="196" t="s">
        <v>741</v>
      </c>
      <c r="B28" s="29">
        <f t="shared" si="22"/>
        <v>0</v>
      </c>
      <c r="C28" s="29">
        <f t="shared" si="22"/>
        <v>-6.1601982930836741E-3</v>
      </c>
      <c r="D28" s="29">
        <f t="shared" si="23"/>
        <v>1.7475373127678218E-2</v>
      </c>
      <c r="E28" s="29">
        <f t="shared" si="23"/>
        <v>-1.6342337220098813E-2</v>
      </c>
      <c r="F28" s="29">
        <f t="shared" si="24"/>
        <v>-1.9314972151366128E-2</v>
      </c>
      <c r="G28" s="29">
        <f t="shared" si="24"/>
        <v>-2.3321152190161065E-2</v>
      </c>
      <c r="H28" s="29">
        <f t="shared" si="25"/>
        <v>-2.3323900617322479E-2</v>
      </c>
      <c r="I28" s="29">
        <f t="shared" si="25"/>
        <v>-3.133060820284328E-2</v>
      </c>
      <c r="J28" s="29">
        <f t="shared" si="26"/>
        <v>-3.1327521068089226E-2</v>
      </c>
      <c r="K28" s="29">
        <f t="shared" si="26"/>
        <v>-1.4386241673410183E-2</v>
      </c>
      <c r="L28" s="29">
        <f t="shared" si="27"/>
        <v>1.2306724734951757E-2</v>
      </c>
      <c r="M28" s="29">
        <f t="shared" si="27"/>
        <v>-0.26694476318615346</v>
      </c>
      <c r="N28" s="29">
        <f t="shared" ref="N28" si="30">N20-N24</f>
        <v>-0.1485596480568403</v>
      </c>
    </row>
    <row r="29" spans="1:38">
      <c r="A29" s="196"/>
      <c r="B29" s="29"/>
      <c r="F29" s="32"/>
      <c r="G29" s="32"/>
    </row>
    <row r="30" spans="1:38" s="22" customFormat="1">
      <c r="A30" s="31" t="s">
        <v>285</v>
      </c>
      <c r="B30" s="394">
        <v>356833</v>
      </c>
      <c r="C30" s="394">
        <v>443350</v>
      </c>
      <c r="D30" s="394">
        <v>445008</v>
      </c>
      <c r="E30" s="394">
        <v>530412</v>
      </c>
      <c r="F30" s="394">
        <v>584777</v>
      </c>
      <c r="G30" s="394">
        <v>591868</v>
      </c>
      <c r="H30" s="394">
        <v>495056</v>
      </c>
      <c r="I30" s="394">
        <v>364528</v>
      </c>
      <c r="J30" s="394">
        <v>320351</v>
      </c>
      <c r="K30" s="394">
        <v>280930</v>
      </c>
      <c r="L30" s="394">
        <v>194106</v>
      </c>
      <c r="M30" s="394">
        <v>271309</v>
      </c>
      <c r="N30" s="394">
        <v>340107</v>
      </c>
    </row>
    <row r="31" spans="1:38" s="108" customFormat="1">
      <c r="A31" s="105" t="s">
        <v>284</v>
      </c>
      <c r="B31" s="108">
        <f t="shared" ref="B31:N31" si="31">B18-B30</f>
        <v>10413</v>
      </c>
      <c r="C31" s="108">
        <f t="shared" si="31"/>
        <v>10413</v>
      </c>
      <c r="D31" s="108">
        <f t="shared" si="31"/>
        <v>10413</v>
      </c>
      <c r="E31" s="108">
        <f t="shared" si="31"/>
        <v>10413</v>
      </c>
      <c r="F31" s="108">
        <f t="shared" si="31"/>
        <v>10413</v>
      </c>
      <c r="G31" s="108">
        <f t="shared" si="31"/>
        <v>10413</v>
      </c>
      <c r="H31" s="108">
        <f t="shared" si="31"/>
        <v>10413</v>
      </c>
      <c r="I31" s="108">
        <f t="shared" si="31"/>
        <v>10413</v>
      </c>
      <c r="J31" s="108">
        <f t="shared" si="31"/>
        <v>10413</v>
      </c>
      <c r="K31" s="108">
        <f t="shared" si="31"/>
        <v>10413</v>
      </c>
      <c r="L31" s="108">
        <f t="shared" si="31"/>
        <v>10413</v>
      </c>
      <c r="M31" s="108">
        <f t="shared" si="31"/>
        <v>10413</v>
      </c>
      <c r="N31" s="108">
        <f t="shared" si="31"/>
        <v>10413</v>
      </c>
    </row>
  </sheetData>
  <phoneticPr fontId="0" type="noConversion"/>
  <printOptions gridLines="1" gridLinesSet="0"/>
  <pageMargins left="0.75" right="0.75" top="1" bottom="1" header="0.5" footer="0.5"/>
  <pageSetup orientation="portrait" r:id="rId1"/>
  <headerFooter alignWithMargins="0">
    <oddHeader>&amp;A</oddHeader>
    <oddFooter>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6"/>
  <dimension ref="A1:AN31"/>
  <sheetViews>
    <sheetView topLeftCell="D1" zoomScale="50" workbookViewId="0">
      <selection activeCell="N22" sqref="N22"/>
    </sheetView>
  </sheetViews>
  <sheetFormatPr defaultRowHeight="20.25"/>
  <cols>
    <col min="1" max="1" width="41.21875" style="4" bestFit="1" customWidth="1"/>
    <col min="2" max="2" width="19.21875" style="10" bestFit="1" customWidth="1"/>
    <col min="3" max="3" width="18.33203125" style="10" customWidth="1"/>
    <col min="4" max="4" width="15.88671875" style="10" bestFit="1" customWidth="1"/>
    <col min="5" max="10" width="15" style="10" bestFit="1" customWidth="1"/>
    <col min="11" max="11" width="17.88671875" style="10" bestFit="1" customWidth="1"/>
    <col min="12" max="22" width="15" style="10" bestFit="1" customWidth="1"/>
    <col min="23" max="23" width="13.44140625" style="10" bestFit="1" customWidth="1"/>
    <col min="24" max="26" width="15" style="10" bestFit="1" customWidth="1"/>
    <col min="27" max="27" width="14.33203125" style="10" bestFit="1" customWidth="1"/>
    <col min="28" max="33" width="15" style="10" bestFit="1" customWidth="1"/>
    <col min="34" max="34" width="15.44140625" style="10" bestFit="1" customWidth="1"/>
    <col min="35" max="35" width="13.44140625" style="10" customWidth="1"/>
    <col min="36" max="38" width="15" style="10" bestFit="1" customWidth="1"/>
    <col min="39" max="39" width="14.33203125" style="10" bestFit="1" customWidth="1"/>
    <col min="40" max="40" width="10.109375" style="10" bestFit="1" customWidth="1"/>
    <col min="41" max="16384" width="8.88671875" style="10"/>
  </cols>
  <sheetData>
    <row r="1" spans="1:40">
      <c r="C1" s="13" t="s">
        <v>55</v>
      </c>
      <c r="D1" s="28">
        <v>600000</v>
      </c>
      <c r="E1" s="24"/>
      <c r="F1" s="24"/>
      <c r="G1" s="24"/>
      <c r="H1" s="24"/>
      <c r="I1" s="28"/>
      <c r="J1" s="24"/>
      <c r="K1" s="24"/>
      <c r="L1" s="24"/>
      <c r="M1" s="24"/>
      <c r="N1" s="24"/>
      <c r="O1" s="13" t="s">
        <v>55</v>
      </c>
      <c r="P1" s="28">
        <v>600000</v>
      </c>
      <c r="AA1" s="13" t="s">
        <v>55</v>
      </c>
      <c r="AB1" s="28">
        <v>600000</v>
      </c>
      <c r="AM1" s="13" t="s">
        <v>55</v>
      </c>
      <c r="AN1" s="28">
        <v>600000</v>
      </c>
    </row>
    <row r="2" spans="1:40">
      <c r="C2" s="131" t="s">
        <v>751</v>
      </c>
      <c r="D2" s="132">
        <v>1375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131" t="s">
        <v>860</v>
      </c>
      <c r="P2" s="132">
        <v>1750</v>
      </c>
      <c r="AA2" s="131" t="s">
        <v>884</v>
      </c>
      <c r="AB2" s="132">
        <v>1750</v>
      </c>
      <c r="AM2" s="131" t="s">
        <v>908</v>
      </c>
      <c r="AN2" s="132">
        <v>1750</v>
      </c>
    </row>
    <row r="3" spans="1:40">
      <c r="A3" s="4" t="s">
        <v>1</v>
      </c>
      <c r="B3" s="10">
        <v>30</v>
      </c>
      <c r="C3" s="24">
        <v>31</v>
      </c>
      <c r="D3" s="24">
        <v>31</v>
      </c>
      <c r="E3" s="24">
        <v>30</v>
      </c>
      <c r="F3" s="24">
        <v>31</v>
      </c>
      <c r="G3" s="24"/>
      <c r="H3" s="24"/>
      <c r="I3" s="24"/>
      <c r="J3" s="24"/>
      <c r="K3" s="24"/>
      <c r="L3" s="24">
        <v>30</v>
      </c>
      <c r="M3" s="24">
        <v>31</v>
      </c>
      <c r="N3" s="24">
        <v>30</v>
      </c>
      <c r="O3" s="24">
        <v>31</v>
      </c>
      <c r="P3" s="24">
        <v>31</v>
      </c>
      <c r="Q3" s="10">
        <v>30</v>
      </c>
      <c r="R3" s="10">
        <v>31</v>
      </c>
      <c r="X3" s="10">
        <v>30</v>
      </c>
      <c r="Y3" s="10">
        <v>31</v>
      </c>
      <c r="Z3" s="10">
        <v>30</v>
      </c>
      <c r="AA3" s="10">
        <v>31</v>
      </c>
      <c r="AB3" s="10">
        <v>31</v>
      </c>
      <c r="AC3" s="10">
        <v>30</v>
      </c>
      <c r="AD3" s="10">
        <v>31</v>
      </c>
      <c r="AJ3" s="10">
        <v>30</v>
      </c>
      <c r="AK3" s="10">
        <v>31</v>
      </c>
      <c r="AL3" s="10">
        <v>30</v>
      </c>
      <c r="AM3" s="10">
        <v>31</v>
      </c>
    </row>
    <row r="4" spans="1:40">
      <c r="B4" s="46">
        <v>40695</v>
      </c>
      <c r="C4" s="46">
        <v>40725</v>
      </c>
      <c r="D4" s="46">
        <v>40756</v>
      </c>
      <c r="E4" s="46">
        <v>40787</v>
      </c>
      <c r="F4" s="46">
        <v>40817</v>
      </c>
      <c r="G4" s="46">
        <v>40848</v>
      </c>
      <c r="H4" s="46">
        <v>40878</v>
      </c>
      <c r="I4" s="46">
        <v>40909</v>
      </c>
      <c r="J4" s="46">
        <v>40940</v>
      </c>
      <c r="K4" s="46">
        <v>40969</v>
      </c>
      <c r="L4" s="46">
        <v>41000</v>
      </c>
      <c r="M4" s="46">
        <v>41030</v>
      </c>
      <c r="N4" s="46">
        <v>41061</v>
      </c>
      <c r="O4" s="46">
        <v>41091</v>
      </c>
      <c r="P4" s="46">
        <v>41122</v>
      </c>
      <c r="Q4" s="46">
        <v>41153</v>
      </c>
      <c r="R4" s="46">
        <v>41183</v>
      </c>
      <c r="S4" s="46">
        <v>41214</v>
      </c>
      <c r="T4" s="46">
        <v>41244</v>
      </c>
      <c r="U4" s="46">
        <v>41275</v>
      </c>
      <c r="V4" s="46">
        <v>41306</v>
      </c>
      <c r="W4" s="46">
        <v>41334</v>
      </c>
      <c r="X4" s="46">
        <v>41365</v>
      </c>
      <c r="Y4" s="46">
        <v>41395</v>
      </c>
      <c r="Z4" s="46">
        <v>41426</v>
      </c>
      <c r="AA4" s="46">
        <v>41456</v>
      </c>
      <c r="AB4" s="46">
        <v>41487</v>
      </c>
      <c r="AC4" s="46">
        <v>41518</v>
      </c>
      <c r="AD4" s="46">
        <v>41548</v>
      </c>
      <c r="AE4" s="46">
        <v>41579</v>
      </c>
      <c r="AF4" s="46">
        <v>41609</v>
      </c>
      <c r="AG4" s="46">
        <v>41640</v>
      </c>
      <c r="AH4" s="46">
        <v>41671</v>
      </c>
      <c r="AI4" s="46">
        <v>41699</v>
      </c>
      <c r="AJ4" s="46">
        <v>41730</v>
      </c>
      <c r="AK4" s="46">
        <v>41760</v>
      </c>
      <c r="AL4" s="46">
        <v>41791</v>
      </c>
      <c r="AM4" s="46">
        <v>41821</v>
      </c>
    </row>
    <row r="5" spans="1:40">
      <c r="A5" s="4" t="s">
        <v>343</v>
      </c>
      <c r="B5" s="46"/>
      <c r="C5" s="28">
        <f>$D$2*C3</f>
        <v>42625</v>
      </c>
      <c r="D5" s="28">
        <f>$D$2*D3</f>
        <v>42625</v>
      </c>
      <c r="E5" s="28">
        <f>$D$2*E3</f>
        <v>41250</v>
      </c>
      <c r="F5" s="28">
        <f>$D$2*F3</f>
        <v>42625</v>
      </c>
      <c r="G5" s="55"/>
      <c r="H5" s="55"/>
      <c r="I5" s="55"/>
      <c r="J5" s="55"/>
      <c r="K5" s="55"/>
      <c r="L5" s="28">
        <f>$P$2*L3</f>
        <v>52500</v>
      </c>
      <c r="M5" s="28">
        <f t="shared" ref="M5:R5" si="0">$P$2*M3</f>
        <v>54250</v>
      </c>
      <c r="N5" s="28">
        <f t="shared" si="0"/>
        <v>52500</v>
      </c>
      <c r="O5" s="28">
        <f t="shared" si="0"/>
        <v>54250</v>
      </c>
      <c r="P5" s="28">
        <f t="shared" si="0"/>
        <v>54250</v>
      </c>
      <c r="Q5" s="28">
        <f t="shared" si="0"/>
        <v>52500</v>
      </c>
      <c r="R5" s="28">
        <f t="shared" si="0"/>
        <v>54250</v>
      </c>
      <c r="S5" s="55"/>
      <c r="T5" s="55"/>
      <c r="U5" s="55"/>
      <c r="V5" s="55"/>
      <c r="W5" s="55"/>
      <c r="X5" s="28">
        <f>$AB$2*X3</f>
        <v>52500</v>
      </c>
      <c r="Y5" s="28">
        <f t="shared" ref="Y5:AD5" si="1">$AB$2*Y3</f>
        <v>54250</v>
      </c>
      <c r="Z5" s="28">
        <f t="shared" si="1"/>
        <v>52500</v>
      </c>
      <c r="AA5" s="28">
        <f t="shared" si="1"/>
        <v>54250</v>
      </c>
      <c r="AB5" s="28">
        <f t="shared" si="1"/>
        <v>54250</v>
      </c>
      <c r="AC5" s="28">
        <f t="shared" si="1"/>
        <v>52500</v>
      </c>
      <c r="AD5" s="28">
        <f t="shared" si="1"/>
        <v>54250</v>
      </c>
      <c r="AE5" s="55"/>
      <c r="AF5" s="55"/>
      <c r="AG5" s="55"/>
      <c r="AH5" s="55"/>
      <c r="AI5" s="55"/>
      <c r="AJ5" s="28">
        <f>$AN$2*AJ3</f>
        <v>52500</v>
      </c>
      <c r="AK5" s="28">
        <f>$AN$2*AK3</f>
        <v>54250</v>
      </c>
      <c r="AL5" s="28">
        <f>$AN$2*AL3</f>
        <v>52500</v>
      </c>
      <c r="AM5" s="28">
        <f>$AN$2*AM3</f>
        <v>54250</v>
      </c>
    </row>
    <row r="6" spans="1:40" s="193" customFormat="1">
      <c r="A6" s="223" t="s">
        <v>193</v>
      </c>
      <c r="C6" s="132">
        <v>17764</v>
      </c>
      <c r="D6" s="394">
        <v>93000</v>
      </c>
      <c r="E6" s="394">
        <v>48249</v>
      </c>
      <c r="F6" s="394">
        <v>50717</v>
      </c>
      <c r="G6" s="132">
        <v>3578</v>
      </c>
      <c r="H6" s="394">
        <v>0</v>
      </c>
      <c r="I6" s="132">
        <v>2388</v>
      </c>
      <c r="J6" s="132">
        <v>0</v>
      </c>
      <c r="K6" s="394">
        <v>9372</v>
      </c>
      <c r="L6" s="394">
        <v>5842</v>
      </c>
      <c r="M6" s="394">
        <v>9330</v>
      </c>
      <c r="N6" s="394">
        <v>105783</v>
      </c>
      <c r="O6" s="193">
        <f t="shared" ref="O6:R6" si="2">O5</f>
        <v>54250</v>
      </c>
      <c r="P6" s="193">
        <f t="shared" si="2"/>
        <v>54250</v>
      </c>
      <c r="Q6" s="193">
        <f t="shared" si="2"/>
        <v>52500</v>
      </c>
      <c r="R6" s="193">
        <f t="shared" si="2"/>
        <v>54250</v>
      </c>
      <c r="X6" s="193">
        <f t="shared" ref="X6:AD6" si="3">X5</f>
        <v>52500</v>
      </c>
      <c r="Y6" s="193">
        <f t="shared" si="3"/>
        <v>54250</v>
      </c>
      <c r="Z6" s="193">
        <f t="shared" si="3"/>
        <v>52500</v>
      </c>
      <c r="AA6" s="193">
        <f t="shared" si="3"/>
        <v>54250</v>
      </c>
      <c r="AB6" s="193">
        <f t="shared" si="3"/>
        <v>54250</v>
      </c>
      <c r="AC6" s="193">
        <f t="shared" si="3"/>
        <v>52500</v>
      </c>
      <c r="AD6" s="193">
        <f t="shared" si="3"/>
        <v>54250</v>
      </c>
      <c r="AJ6" s="193">
        <f>AJ5</f>
        <v>52500</v>
      </c>
      <c r="AK6" s="193">
        <f>AK5</f>
        <v>54250</v>
      </c>
      <c r="AL6" s="193">
        <f>AL5</f>
        <v>52500</v>
      </c>
      <c r="AM6" s="193">
        <f>AM5</f>
        <v>54250</v>
      </c>
    </row>
    <row r="7" spans="1:40" s="187" customFormat="1">
      <c r="A7" s="221" t="s">
        <v>57</v>
      </c>
      <c r="C7" s="410">
        <f>+'GSS-09'!C7</f>
        <v>4.4915885575167378</v>
      </c>
      <c r="D7" s="410">
        <f>+'GSS-09'!D7</f>
        <v>4.4900414937759336</v>
      </c>
      <c r="E7" s="410">
        <f>+'GSS-09'!E7</f>
        <v>3.9057568103914857</v>
      </c>
      <c r="F7" s="410">
        <f>+'GSS-09'!F7</f>
        <v>3.8421414396536169</v>
      </c>
      <c r="G7" s="410">
        <f>+'GSS-09'!G7</f>
        <v>3.4706060606060607</v>
      </c>
      <c r="H7" s="410">
        <f>+'GSS-09'!H7</f>
        <v>3.3308080808080809</v>
      </c>
      <c r="I7" s="410">
        <f>+'GSS-09'!I7</f>
        <v>2.8922792283015499</v>
      </c>
      <c r="J7" s="410">
        <f>+'GSS-09'!J7</f>
        <v>2.6904040404040406</v>
      </c>
      <c r="K7" s="410">
        <f>+'GSS-09'!K7</f>
        <v>2.4402020202020203</v>
      </c>
      <c r="L7" s="410">
        <f>+'GSS-09'!L7</f>
        <v>2.1504060913705585</v>
      </c>
      <c r="M7" s="410">
        <f>+'GSS-09'!M7</f>
        <v>2.0762549907388346</v>
      </c>
      <c r="N7" s="410">
        <f>+'GSS-09'!N7</f>
        <v>2.4481426775612816</v>
      </c>
      <c r="O7" s="187">
        <f>+'GSS-09'!O7</f>
        <v>2.7515000000000001</v>
      </c>
      <c r="P7" s="187">
        <f>+'GSS-09'!P7</f>
        <v>3.0059999999999998</v>
      </c>
      <c r="Q7" s="187">
        <f>+'GSS-09'!Q7</f>
        <v>2.9609999999999999</v>
      </c>
      <c r="R7" s="187">
        <f>+'GSS-09'!R7</f>
        <v>3.0330000000000004</v>
      </c>
      <c r="X7" s="187">
        <f>+'GSS-09'!X7</f>
        <v>3.4345000000000003</v>
      </c>
      <c r="Y7" s="187">
        <f>+'GSS-09'!Y7</f>
        <v>3.4525000000000001</v>
      </c>
      <c r="Z7" s="187">
        <f>+'GSS-09'!Z7</f>
        <v>3.4875000000000003</v>
      </c>
      <c r="AA7" s="187">
        <f>+'GSS-09'!AA7</f>
        <v>3.5315000000000003</v>
      </c>
      <c r="AB7" s="187">
        <f>+'GSS-09'!AB7</f>
        <v>3.5545</v>
      </c>
      <c r="AC7" s="187">
        <f>+'GSS-09'!AC7</f>
        <v>3.5595000000000003</v>
      </c>
      <c r="AD7" s="187">
        <f>+'GSS-09'!AD7</f>
        <v>3.5935000000000001</v>
      </c>
      <c r="AJ7" s="187">
        <f>+'GSS-09'!AJ7</f>
        <v>3.7490000000000001</v>
      </c>
      <c r="AK7" s="187">
        <f>+'GSS-09'!AK7</f>
        <v>3.766</v>
      </c>
      <c r="AL7" s="187">
        <f>+'GSS-09'!AL7</f>
        <v>3.7909999999999999</v>
      </c>
      <c r="AM7" s="187">
        <f>+'GSS-09'!AM7</f>
        <v>0</v>
      </c>
    </row>
    <row r="8" spans="1:40">
      <c r="A8" s="4" t="s">
        <v>58</v>
      </c>
      <c r="B8" s="25"/>
      <c r="C8" s="25">
        <f>+C6*C7</f>
        <v>79788.579135727327</v>
      </c>
      <c r="D8" s="25">
        <f>+D6*D7</f>
        <v>417573.85892116185</v>
      </c>
      <c r="E8" s="25">
        <f>+E6*E7</f>
        <v>188448.8603445788</v>
      </c>
      <c r="F8" s="25">
        <f>+F6*F7</f>
        <v>194861.88739491248</v>
      </c>
      <c r="G8" s="25">
        <f>+G6*G7</f>
        <v>12417.828484848485</v>
      </c>
      <c r="K8" s="25">
        <f>+K6*K7</f>
        <v>22869.573333333334</v>
      </c>
      <c r="L8" s="25">
        <f t="shared" ref="L8:R8" si="4">+L6*L7</f>
        <v>12562.672385786802</v>
      </c>
      <c r="M8" s="25">
        <f t="shared" si="4"/>
        <v>19371.459063593327</v>
      </c>
      <c r="N8" s="25">
        <f t="shared" si="4"/>
        <v>258971.87686046504</v>
      </c>
      <c r="O8" s="25">
        <f t="shared" si="4"/>
        <v>149268.875</v>
      </c>
      <c r="P8" s="25">
        <f t="shared" si="4"/>
        <v>163075.5</v>
      </c>
      <c r="Q8" s="25">
        <f t="shared" si="4"/>
        <v>155452.5</v>
      </c>
      <c r="R8" s="25">
        <f t="shared" si="4"/>
        <v>164540.25000000003</v>
      </c>
      <c r="X8" s="25">
        <f t="shared" ref="X8:AD8" si="5">+X6*X7</f>
        <v>180311.25000000003</v>
      </c>
      <c r="Y8" s="25">
        <f t="shared" si="5"/>
        <v>187298.125</v>
      </c>
      <c r="Z8" s="25">
        <f t="shared" si="5"/>
        <v>183093.75</v>
      </c>
      <c r="AA8" s="25">
        <f t="shared" si="5"/>
        <v>191583.87500000003</v>
      </c>
      <c r="AB8" s="25">
        <f t="shared" si="5"/>
        <v>192831.625</v>
      </c>
      <c r="AC8" s="25">
        <f t="shared" si="5"/>
        <v>186873.75000000003</v>
      </c>
      <c r="AD8" s="25">
        <f t="shared" si="5"/>
        <v>194947.375</v>
      </c>
      <c r="AJ8" s="25">
        <f>+AJ6*AJ7</f>
        <v>196822.5</v>
      </c>
      <c r="AK8" s="25">
        <f>+AK6*AK7</f>
        <v>204305.5</v>
      </c>
      <c r="AL8" s="25">
        <f>+AL6*AL7</f>
        <v>199027.5</v>
      </c>
      <c r="AM8" s="25">
        <f>+AM6*AM7</f>
        <v>0</v>
      </c>
    </row>
    <row r="9" spans="1:40">
      <c r="A9" s="4" t="s">
        <v>194</v>
      </c>
      <c r="H9" s="150">
        <v>-0.18</v>
      </c>
      <c r="I9" s="150">
        <v>-0.23100000000000001</v>
      </c>
      <c r="J9" s="150">
        <v>-0.189</v>
      </c>
      <c r="K9" s="150">
        <v>-2.5000000000000001E-2</v>
      </c>
      <c r="T9" s="150">
        <v>-0.18</v>
      </c>
      <c r="U9" s="150">
        <v>-0.23100000000000001</v>
      </c>
      <c r="V9" s="150">
        <v>-0.189</v>
      </c>
      <c r="W9" s="150">
        <v>-2.5000000000000001E-2</v>
      </c>
      <c r="AF9" s="150">
        <v>-0.18</v>
      </c>
      <c r="AG9" s="150">
        <v>-0.23100000000000001</v>
      </c>
      <c r="AH9" s="150">
        <v>-0.189</v>
      </c>
      <c r="AI9" s="150">
        <v>-2.5000000000000001E-2</v>
      </c>
    </row>
    <row r="10" spans="1:40">
      <c r="A10" s="4" t="s">
        <v>344</v>
      </c>
      <c r="H10" s="108">
        <f>H9*$D$1</f>
        <v>-108000</v>
      </c>
      <c r="I10" s="108">
        <f>I9*$D$1</f>
        <v>-138600</v>
      </c>
      <c r="J10" s="108">
        <f>J9*$D$1</f>
        <v>-113400</v>
      </c>
      <c r="K10" s="108">
        <f>K9*$D$1</f>
        <v>-15000</v>
      </c>
      <c r="T10" s="107">
        <f>$P$1*T9</f>
        <v>-108000</v>
      </c>
      <c r="U10" s="107">
        <f>$P$1*U9</f>
        <v>-138600</v>
      </c>
      <c r="V10" s="107">
        <f>$P$1*V9</f>
        <v>-113400</v>
      </c>
      <c r="W10" s="107">
        <f>$P$1*W9</f>
        <v>-15000</v>
      </c>
      <c r="AF10" s="107">
        <f>$AB$1*AF9</f>
        <v>-108000</v>
      </c>
      <c r="AG10" s="107">
        <f>$AB$1*AG9</f>
        <v>-138600</v>
      </c>
      <c r="AH10" s="107">
        <f>$AB$1*AH9</f>
        <v>-113400</v>
      </c>
      <c r="AI10" s="107">
        <f>$AB$1*AI9</f>
        <v>-15000</v>
      </c>
    </row>
    <row r="11" spans="1:40" s="194" customFormat="1">
      <c r="A11" s="223" t="s">
        <v>195</v>
      </c>
      <c r="G11" s="413">
        <v>0</v>
      </c>
      <c r="H11" s="413">
        <v>-177999</v>
      </c>
      <c r="I11" s="413">
        <v>-21218</v>
      </c>
      <c r="J11" s="413">
        <v>-183082</v>
      </c>
      <c r="K11" s="413">
        <v>-2478</v>
      </c>
      <c r="L11" s="413">
        <v>0</v>
      </c>
      <c r="T11" s="194">
        <f>T10</f>
        <v>-108000</v>
      </c>
      <c r="U11" s="194">
        <f>U10</f>
        <v>-138600</v>
      </c>
      <c r="V11" s="194">
        <f>V10</f>
        <v>-113400</v>
      </c>
      <c r="W11" s="194">
        <f>W10</f>
        <v>-15000</v>
      </c>
      <c r="AF11" s="194">
        <f>AF10</f>
        <v>-108000</v>
      </c>
      <c r="AG11" s="194">
        <f>AG10</f>
        <v>-138600</v>
      </c>
      <c r="AH11" s="194">
        <f>AH10</f>
        <v>-113400</v>
      </c>
      <c r="AI11" s="194">
        <f>AI10</f>
        <v>-15000</v>
      </c>
    </row>
    <row r="12" spans="1:40">
      <c r="A12" s="4" t="s">
        <v>59</v>
      </c>
      <c r="F12" s="20">
        <f t="shared" ref="F12:L12" si="6">+E20</f>
        <v>4.5859584931582047</v>
      </c>
      <c r="G12" s="20">
        <f t="shared" si="6"/>
        <v>4.520575930447464</v>
      </c>
      <c r="H12" s="20">
        <f t="shared" si="6"/>
        <v>4.5141048834918109</v>
      </c>
      <c r="I12" s="20">
        <f t="shared" si="6"/>
        <v>4.6978851493823033</v>
      </c>
      <c r="J12" s="20">
        <f t="shared" si="6"/>
        <v>4.6686492389341305</v>
      </c>
      <c r="K12" s="20">
        <f t="shared" si="6"/>
        <v>4.6686492389341305</v>
      </c>
      <c r="L12" s="20">
        <f t="shared" si="6"/>
        <v>4.5680165453230765</v>
      </c>
      <c r="S12" s="20">
        <f>+R20</f>
        <v>3.4414769929057538</v>
      </c>
      <c r="T12" s="20">
        <f>+S20</f>
        <v>3.4414769929057538</v>
      </c>
      <c r="U12" s="20">
        <f>+T20</f>
        <v>3.4414769929057538</v>
      </c>
      <c r="V12" s="20">
        <f>+U20</f>
        <v>3.4414769929057534</v>
      </c>
      <c r="W12" s="20">
        <f>+V20</f>
        <v>3.4414769929057534</v>
      </c>
      <c r="AE12" s="20">
        <f>+AD20</f>
        <v>3.4932156584669496</v>
      </c>
      <c r="AF12" s="20">
        <f>+AE20</f>
        <v>3.4932156584669496</v>
      </c>
      <c r="AG12" s="20">
        <f>+AF20</f>
        <v>3.4932156584669496</v>
      </c>
      <c r="AH12" s="20">
        <f>+AG20</f>
        <v>3.4932156584669491</v>
      </c>
      <c r="AI12" s="20">
        <f>+AH20</f>
        <v>3.4932156584669491</v>
      </c>
    </row>
    <row r="13" spans="1:40">
      <c r="A13" s="4" t="s">
        <v>60</v>
      </c>
      <c r="F13" s="30">
        <f t="shared" ref="F13:L13" si="7">F11*F12</f>
        <v>0</v>
      </c>
      <c r="G13" s="30">
        <f t="shared" si="7"/>
        <v>0</v>
      </c>
      <c r="H13" s="30">
        <f t="shared" si="7"/>
        <v>-803506.15515665885</v>
      </c>
      <c r="I13" s="30">
        <f t="shared" si="7"/>
        <v>-99679.727099593714</v>
      </c>
      <c r="J13" s="30">
        <f t="shared" si="7"/>
        <v>-854745.63996253849</v>
      </c>
      <c r="K13" s="30">
        <f t="shared" si="7"/>
        <v>-11568.912814078776</v>
      </c>
      <c r="L13" s="30">
        <f t="shared" si="7"/>
        <v>0</v>
      </c>
      <c r="S13" s="30">
        <f>S11*S12</f>
        <v>0</v>
      </c>
      <c r="T13" s="30">
        <f>T11*T12</f>
        <v>-371679.51523382141</v>
      </c>
      <c r="U13" s="30">
        <f>U11*U12</f>
        <v>-476988.71121673746</v>
      </c>
      <c r="V13" s="30">
        <f>V11*V12</f>
        <v>-390263.49099551246</v>
      </c>
      <c r="W13" s="30">
        <f>W11*W12</f>
        <v>-51622.154893586303</v>
      </c>
      <c r="AE13" s="30">
        <f>AE11*AE12</f>
        <v>0</v>
      </c>
      <c r="AF13" s="30">
        <f>AF11*AF12</f>
        <v>-377267.29111443058</v>
      </c>
      <c r="AG13" s="30">
        <f>AG11*AG12</f>
        <v>-484159.69026351924</v>
      </c>
      <c r="AH13" s="30">
        <f>AH11*AH12</f>
        <v>-396130.65567015205</v>
      </c>
      <c r="AI13" s="30">
        <f>AI11*AI12</f>
        <v>-52398.234877004237</v>
      </c>
    </row>
    <row r="14" spans="1:40" s="22" customFormat="1">
      <c r="A14" s="4" t="s">
        <v>62</v>
      </c>
      <c r="H14" s="22">
        <v>16389</v>
      </c>
    </row>
    <row r="15" spans="1:40" s="16" customFormat="1">
      <c r="A15" s="7" t="s">
        <v>63</v>
      </c>
      <c r="H15" s="16">
        <f>G20</f>
        <v>4.5141048834918109</v>
      </c>
    </row>
    <row r="16" spans="1:40">
      <c r="A16" s="4" t="s">
        <v>64</v>
      </c>
      <c r="H16" s="32">
        <f>H14*H15</f>
        <v>73981.664935547291</v>
      </c>
    </row>
    <row r="17" spans="1:38">
      <c r="A17" s="4" t="s">
        <v>347</v>
      </c>
      <c r="B17" s="124">
        <f>B18/$D$1</f>
        <v>0.61207666666666671</v>
      </c>
      <c r="C17" s="124">
        <f t="shared" ref="C17:N17" si="8">C18/$D$1</f>
        <v>0.64168333333333338</v>
      </c>
      <c r="D17" s="124">
        <f t="shared" si="8"/>
        <v>0.7966833333333333</v>
      </c>
      <c r="E17" s="124">
        <f t="shared" si="8"/>
        <v>0.87709833333333331</v>
      </c>
      <c r="F17" s="134">
        <f t="shared" si="8"/>
        <v>0.96162666666666663</v>
      </c>
      <c r="G17" s="124">
        <f t="shared" si="8"/>
        <v>0.96758999999999995</v>
      </c>
      <c r="H17" s="124">
        <f t="shared" si="8"/>
        <v>0.67092499999999999</v>
      </c>
      <c r="I17" s="124">
        <f t="shared" si="8"/>
        <v>0.63954166666666667</v>
      </c>
      <c r="J17" s="124">
        <f t="shared" si="8"/>
        <v>0.33440500000000001</v>
      </c>
      <c r="K17" s="134">
        <f t="shared" si="8"/>
        <v>0.34589500000000001</v>
      </c>
      <c r="L17" s="124">
        <f t="shared" si="8"/>
        <v>0.35563166666666668</v>
      </c>
      <c r="M17" s="124">
        <f t="shared" si="8"/>
        <v>0.37118166666666669</v>
      </c>
      <c r="N17" s="124">
        <f t="shared" si="8"/>
        <v>0.54748666666666668</v>
      </c>
      <c r="O17" s="124">
        <f>O18/$P$1</f>
        <v>0.63790333333333338</v>
      </c>
      <c r="P17" s="124">
        <f t="shared" ref="P17:Z17" si="9">P18/$P$1</f>
        <v>0.72831999999999997</v>
      </c>
      <c r="Q17" s="124">
        <f t="shared" si="9"/>
        <v>0.81581999999999999</v>
      </c>
      <c r="R17" s="134">
        <f t="shared" si="9"/>
        <v>0.90623666666666669</v>
      </c>
      <c r="S17" s="124">
        <f t="shared" si="9"/>
        <v>0.90623666666666669</v>
      </c>
      <c r="T17" s="124">
        <f t="shared" si="9"/>
        <v>0.72623666666666664</v>
      </c>
      <c r="U17" s="124">
        <f t="shared" si="9"/>
        <v>0.49523666666666666</v>
      </c>
      <c r="V17" s="124">
        <f t="shared" si="9"/>
        <v>0.30623666666666666</v>
      </c>
      <c r="W17" s="134">
        <f t="shared" si="9"/>
        <v>0.28123666666666669</v>
      </c>
      <c r="X17" s="124">
        <f t="shared" si="9"/>
        <v>0.36873666666666666</v>
      </c>
      <c r="Y17" s="124">
        <f t="shared" si="9"/>
        <v>0.45915333333333336</v>
      </c>
      <c r="Z17" s="124">
        <f t="shared" si="9"/>
        <v>0.54665333333333332</v>
      </c>
      <c r="AA17" s="124">
        <f>AA18/$AB$1</f>
        <v>0.63707000000000003</v>
      </c>
      <c r="AB17" s="124">
        <f t="shared" ref="AB17:AI17" si="10">AB18/$AB$1</f>
        <v>0.72748666666666661</v>
      </c>
      <c r="AC17" s="124">
        <f t="shared" si="10"/>
        <v>0.81498666666666664</v>
      </c>
      <c r="AD17" s="134">
        <f t="shared" si="10"/>
        <v>0.90540333333333334</v>
      </c>
      <c r="AE17" s="124">
        <f t="shared" si="10"/>
        <v>0.90540333333333334</v>
      </c>
      <c r="AF17" s="124">
        <f t="shared" si="10"/>
        <v>0.72540333333333329</v>
      </c>
      <c r="AG17" s="124">
        <f t="shared" si="10"/>
        <v>0.49440333333333331</v>
      </c>
      <c r="AH17" s="124">
        <f t="shared" si="10"/>
        <v>0.30540333333333336</v>
      </c>
      <c r="AI17" s="134">
        <f t="shared" si="10"/>
        <v>0.28040333333333334</v>
      </c>
      <c r="AJ17" s="124">
        <f>AJ18/$AB$1</f>
        <v>0.36790333333333336</v>
      </c>
      <c r="AK17" s="124">
        <f>AK18/$AB$1</f>
        <v>0.45832000000000001</v>
      </c>
      <c r="AL17" s="124">
        <f>AL18/$AB$1</f>
        <v>0.54581999999999997</v>
      </c>
    </row>
    <row r="18" spans="1:38">
      <c r="A18" s="4" t="s">
        <v>345</v>
      </c>
      <c r="B18" s="132">
        <v>367246</v>
      </c>
      <c r="C18" s="394">
        <f t="shared" ref="C18:Z18" si="11">+B18+C6+C11</f>
        <v>385010</v>
      </c>
      <c r="D18" s="394">
        <f t="shared" si="11"/>
        <v>478010</v>
      </c>
      <c r="E18" s="394">
        <f t="shared" si="11"/>
        <v>526259</v>
      </c>
      <c r="F18" s="394">
        <f t="shared" si="11"/>
        <v>576976</v>
      </c>
      <c r="G18" s="394">
        <f t="shared" si="11"/>
        <v>580554</v>
      </c>
      <c r="H18" s="394">
        <f t="shared" si="11"/>
        <v>402555</v>
      </c>
      <c r="I18" s="394">
        <f t="shared" si="11"/>
        <v>383725</v>
      </c>
      <c r="J18" s="394">
        <f t="shared" si="11"/>
        <v>200643</v>
      </c>
      <c r="K18" s="394">
        <f t="shared" si="11"/>
        <v>207537</v>
      </c>
      <c r="L18" s="394">
        <f t="shared" si="11"/>
        <v>213379</v>
      </c>
      <c r="M18" s="394">
        <f t="shared" si="11"/>
        <v>222709</v>
      </c>
      <c r="N18" s="394">
        <f t="shared" si="11"/>
        <v>328492</v>
      </c>
      <c r="O18" s="22">
        <f t="shared" si="11"/>
        <v>382742</v>
      </c>
      <c r="P18" s="22">
        <f t="shared" si="11"/>
        <v>436992</v>
      </c>
      <c r="Q18" s="22">
        <f t="shared" si="11"/>
        <v>489492</v>
      </c>
      <c r="R18" s="22">
        <f t="shared" si="11"/>
        <v>543742</v>
      </c>
      <c r="S18" s="22">
        <f t="shared" si="11"/>
        <v>543742</v>
      </c>
      <c r="T18" s="22">
        <f t="shared" si="11"/>
        <v>435742</v>
      </c>
      <c r="U18" s="22">
        <f t="shared" si="11"/>
        <v>297142</v>
      </c>
      <c r="V18" s="22">
        <f t="shared" si="11"/>
        <v>183742</v>
      </c>
      <c r="W18" s="22">
        <f t="shared" si="11"/>
        <v>168742</v>
      </c>
      <c r="X18" s="22">
        <f t="shared" si="11"/>
        <v>221242</v>
      </c>
      <c r="Y18" s="22">
        <f t="shared" si="11"/>
        <v>275492</v>
      </c>
      <c r="Z18" s="22">
        <f t="shared" si="11"/>
        <v>327992</v>
      </c>
      <c r="AA18" s="22">
        <f t="shared" ref="AA18:AL18" si="12">+Z18+AA6+AA11</f>
        <v>382242</v>
      </c>
      <c r="AB18" s="22">
        <f t="shared" si="12"/>
        <v>436492</v>
      </c>
      <c r="AC18" s="22">
        <f t="shared" si="12"/>
        <v>488992</v>
      </c>
      <c r="AD18" s="22">
        <f t="shared" si="12"/>
        <v>543242</v>
      </c>
      <c r="AE18" s="22">
        <f t="shared" si="12"/>
        <v>543242</v>
      </c>
      <c r="AF18" s="22">
        <f t="shared" si="12"/>
        <v>435242</v>
      </c>
      <c r="AG18" s="22">
        <f t="shared" si="12"/>
        <v>296642</v>
      </c>
      <c r="AH18" s="22">
        <f t="shared" si="12"/>
        <v>183242</v>
      </c>
      <c r="AI18" s="22">
        <f t="shared" si="12"/>
        <v>168242</v>
      </c>
      <c r="AJ18" s="22">
        <f t="shared" si="12"/>
        <v>220742</v>
      </c>
      <c r="AK18" s="22">
        <f t="shared" si="12"/>
        <v>274992</v>
      </c>
      <c r="AL18" s="22">
        <f t="shared" si="12"/>
        <v>327492</v>
      </c>
    </row>
    <row r="19" spans="1:38" s="32" customFormat="1">
      <c r="A19" s="4" t="s">
        <v>346</v>
      </c>
      <c r="B19" s="186">
        <v>1727590.632249475</v>
      </c>
      <c r="C19" s="393">
        <f t="shared" ref="C19:Z19" si="13">+B19+C8+C13</f>
        <v>1807379.2113852024</v>
      </c>
      <c r="D19" s="393">
        <f t="shared" si="13"/>
        <v>2224953.0703063644</v>
      </c>
      <c r="E19" s="393">
        <f t="shared" si="13"/>
        <v>2413401.9306509434</v>
      </c>
      <c r="F19" s="393">
        <f t="shared" si="13"/>
        <v>2608263.818045856</v>
      </c>
      <c r="G19" s="393">
        <f t="shared" si="13"/>
        <v>2620681.6465307046</v>
      </c>
      <c r="H19" s="393">
        <f>+G19+H8+H13+H16</f>
        <v>1891157.156309593</v>
      </c>
      <c r="I19" s="393">
        <f t="shared" si="13"/>
        <v>1791477.4292099993</v>
      </c>
      <c r="J19" s="393">
        <f t="shared" si="13"/>
        <v>936731.78924746078</v>
      </c>
      <c r="K19" s="393">
        <f t="shared" si="13"/>
        <v>948032.44976671541</v>
      </c>
      <c r="L19" s="393">
        <f t="shared" si="13"/>
        <v>960595.12215250218</v>
      </c>
      <c r="M19" s="393">
        <f t="shared" si="13"/>
        <v>979966.58121609548</v>
      </c>
      <c r="N19" s="393">
        <f t="shared" si="13"/>
        <v>1238938.4580765604</v>
      </c>
      <c r="O19" s="32">
        <f t="shared" si="13"/>
        <v>1388207.3330765604</v>
      </c>
      <c r="P19" s="32">
        <f t="shared" si="13"/>
        <v>1551282.8330765604</v>
      </c>
      <c r="Q19" s="32">
        <f t="shared" si="13"/>
        <v>1706735.3330765604</v>
      </c>
      <c r="R19" s="32">
        <f t="shared" si="13"/>
        <v>1871275.5830765604</v>
      </c>
      <c r="S19" s="32">
        <f t="shared" si="13"/>
        <v>1871275.5830765604</v>
      </c>
      <c r="T19" s="32">
        <f t="shared" si="13"/>
        <v>1499596.0678427389</v>
      </c>
      <c r="U19" s="32">
        <f t="shared" si="13"/>
        <v>1022607.3566260014</v>
      </c>
      <c r="V19" s="32">
        <f t="shared" si="13"/>
        <v>632343.86563048896</v>
      </c>
      <c r="W19" s="32">
        <f t="shared" si="13"/>
        <v>580721.71073690266</v>
      </c>
      <c r="X19" s="32">
        <f t="shared" si="13"/>
        <v>761032.96073690266</v>
      </c>
      <c r="Y19" s="32">
        <f t="shared" si="13"/>
        <v>948331.08573690266</v>
      </c>
      <c r="Z19" s="32">
        <f t="shared" si="13"/>
        <v>1131424.8357369027</v>
      </c>
      <c r="AA19" s="32">
        <f t="shared" ref="AA19:AL19" si="14">+Z19+AA8+AA13</f>
        <v>1323008.7107369027</v>
      </c>
      <c r="AB19" s="32">
        <f t="shared" si="14"/>
        <v>1515840.3357369027</v>
      </c>
      <c r="AC19" s="32">
        <f t="shared" si="14"/>
        <v>1702714.0857369027</v>
      </c>
      <c r="AD19" s="32">
        <f t="shared" si="14"/>
        <v>1897661.4607369027</v>
      </c>
      <c r="AE19" s="32">
        <f t="shared" si="14"/>
        <v>1897661.4607369027</v>
      </c>
      <c r="AF19" s="32">
        <f t="shared" si="14"/>
        <v>1520394.169622472</v>
      </c>
      <c r="AG19" s="32">
        <f t="shared" si="14"/>
        <v>1036234.4793589527</v>
      </c>
      <c r="AH19" s="32">
        <f t="shared" si="14"/>
        <v>640103.82368880068</v>
      </c>
      <c r="AI19" s="32">
        <f t="shared" si="14"/>
        <v>587705.58881179639</v>
      </c>
      <c r="AJ19" s="32">
        <f t="shared" si="14"/>
        <v>784528.08881179639</v>
      </c>
      <c r="AK19" s="32">
        <f t="shared" si="14"/>
        <v>988833.58881179639</v>
      </c>
      <c r="AL19" s="32">
        <f t="shared" si="14"/>
        <v>1187861.0888117964</v>
      </c>
    </row>
    <row r="20" spans="1:38">
      <c r="A20" s="4" t="s">
        <v>65</v>
      </c>
      <c r="B20" s="20">
        <f t="shared" ref="B20:Z20" si="15">+B19/B18</f>
        <v>4.7041782136482766</v>
      </c>
      <c r="C20" s="20">
        <f t="shared" si="15"/>
        <v>4.694369526467371</v>
      </c>
      <c r="D20" s="20">
        <f t="shared" si="15"/>
        <v>4.6546161592986852</v>
      </c>
      <c r="E20" s="20">
        <f t="shared" si="15"/>
        <v>4.5859584931582047</v>
      </c>
      <c r="F20" s="135">
        <f t="shared" si="15"/>
        <v>4.520575930447464</v>
      </c>
      <c r="G20" s="20">
        <f t="shared" si="15"/>
        <v>4.5141048834918109</v>
      </c>
      <c r="H20" s="20">
        <f t="shared" si="15"/>
        <v>4.6978851493823033</v>
      </c>
      <c r="I20" s="20">
        <f t="shared" si="15"/>
        <v>4.6686492389341305</v>
      </c>
      <c r="J20" s="20">
        <f t="shared" si="15"/>
        <v>4.6686492389341305</v>
      </c>
      <c r="K20" s="20">
        <f t="shared" si="15"/>
        <v>4.5680165453230765</v>
      </c>
      <c r="L20" s="20">
        <f t="shared" si="15"/>
        <v>4.5018259629696562</v>
      </c>
      <c r="M20" s="20">
        <f t="shared" si="15"/>
        <v>4.4002109533790525</v>
      </c>
      <c r="N20" s="20">
        <f t="shared" si="15"/>
        <v>3.7715940055665294</v>
      </c>
      <c r="O20" s="20">
        <f t="shared" si="15"/>
        <v>3.6270054843120443</v>
      </c>
      <c r="P20" s="20">
        <f t="shared" si="15"/>
        <v>3.5499112868806759</v>
      </c>
      <c r="Q20" s="20">
        <f t="shared" si="15"/>
        <v>3.4867481656013997</v>
      </c>
      <c r="R20" s="135">
        <f t="shared" si="15"/>
        <v>3.4414769929057538</v>
      </c>
      <c r="S20" s="20">
        <f t="shared" si="15"/>
        <v>3.4414769929057538</v>
      </c>
      <c r="T20" s="20">
        <f t="shared" si="15"/>
        <v>3.4414769929057538</v>
      </c>
      <c r="U20" s="20">
        <f t="shared" si="15"/>
        <v>3.4414769929057534</v>
      </c>
      <c r="V20" s="20">
        <f t="shared" si="15"/>
        <v>3.4414769929057534</v>
      </c>
      <c r="W20" s="20">
        <f t="shared" si="15"/>
        <v>3.4414769929057534</v>
      </c>
      <c r="X20" s="20">
        <f t="shared" si="15"/>
        <v>3.4398213754029645</v>
      </c>
      <c r="Y20" s="20">
        <f t="shared" si="15"/>
        <v>3.4423180554676822</v>
      </c>
      <c r="Z20" s="20">
        <f t="shared" si="15"/>
        <v>3.4495500979807514</v>
      </c>
      <c r="AA20" s="20">
        <f t="shared" ref="AA20:AL20" si="16">+AA19/AA18</f>
        <v>3.4611809030323792</v>
      </c>
      <c r="AB20" s="20">
        <f t="shared" si="16"/>
        <v>3.472779193517642</v>
      </c>
      <c r="AC20" s="20">
        <f t="shared" si="16"/>
        <v>3.4820898618727969</v>
      </c>
      <c r="AD20" s="135">
        <f t="shared" si="16"/>
        <v>3.4932156584669496</v>
      </c>
      <c r="AE20" s="20">
        <f t="shared" si="16"/>
        <v>3.4932156584669496</v>
      </c>
      <c r="AF20" s="20">
        <f t="shared" si="16"/>
        <v>3.4932156584669496</v>
      </c>
      <c r="AG20" s="20">
        <f t="shared" si="16"/>
        <v>3.4932156584669491</v>
      </c>
      <c r="AH20" s="20">
        <f t="shared" si="16"/>
        <v>3.4932156584669491</v>
      </c>
      <c r="AI20" s="20">
        <f t="shared" si="16"/>
        <v>3.4932156584669487</v>
      </c>
      <c r="AJ20" s="20">
        <f t="shared" si="16"/>
        <v>3.554049926211579</v>
      </c>
      <c r="AK20" s="20">
        <f t="shared" si="16"/>
        <v>3.5958631116970543</v>
      </c>
      <c r="AL20" s="20">
        <f t="shared" si="16"/>
        <v>3.62714536175478</v>
      </c>
    </row>
    <row r="21" spans="1:38">
      <c r="A21" s="112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0"/>
      <c r="N21" s="20"/>
      <c r="O21" s="20"/>
      <c r="P21" s="20"/>
      <c r="Q21" s="20"/>
      <c r="R21" s="18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</row>
    <row r="22" spans="1:38">
      <c r="A22" s="31" t="s">
        <v>447</v>
      </c>
      <c r="B22" s="394">
        <f>+'GSS-97'!B22</f>
        <v>367246</v>
      </c>
      <c r="C22" s="394">
        <f>+'GSS-97'!C22</f>
        <v>419386.5</v>
      </c>
      <c r="D22" s="394">
        <f>+'GSS-97'!D22</f>
        <v>466715.5</v>
      </c>
      <c r="E22" s="394">
        <f>+'GSS-97'!E22</f>
        <v>533542</v>
      </c>
      <c r="F22" s="394">
        <f>+'GSS-97'!F22</f>
        <v>586083</v>
      </c>
      <c r="G22" s="394">
        <f>+'GSS-97'!G22</f>
        <v>591417.5</v>
      </c>
      <c r="H22" s="394">
        <f>+'GSS-97'!H22</f>
        <v>454012</v>
      </c>
      <c r="I22" s="394">
        <f>+'GSS-97'!I22</f>
        <v>379333</v>
      </c>
      <c r="J22" s="394">
        <f>+'GSS-97'!J22</f>
        <v>265703.5</v>
      </c>
      <c r="K22" s="394">
        <f>+'GSS-97'!K22</f>
        <v>249440</v>
      </c>
      <c r="L22" s="394">
        <f>+'GSS-97'!L22</f>
        <v>208949</v>
      </c>
      <c r="M22" s="394">
        <f>+'GSS-97'!M22</f>
        <v>252215.5</v>
      </c>
      <c r="N22" s="394">
        <f>+'GSS-97'!N22</f>
        <v>339506</v>
      </c>
      <c r="O22" s="20"/>
      <c r="P22" s="20"/>
      <c r="Q22" s="20"/>
      <c r="R22" s="18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</row>
    <row r="23" spans="1:38">
      <c r="A23" s="112" t="s">
        <v>445</v>
      </c>
      <c r="B23" s="393">
        <f>+'GSS-97'!B23</f>
        <v>1727590.632249475</v>
      </c>
      <c r="C23" s="393">
        <f>+'GSS-97'!C23</f>
        <v>1958453.122249475</v>
      </c>
      <c r="D23" s="393">
        <f>+'GSS-97'!D23</f>
        <v>2168144.257249475</v>
      </c>
      <c r="E23" s="393">
        <f>+'GSS-97'!E23</f>
        <v>2432830.6572494749</v>
      </c>
      <c r="F23" s="393">
        <f>+'GSS-97'!F23</f>
        <v>2636605.6716494751</v>
      </c>
      <c r="G23" s="393">
        <f>+'GSS-97'!G23</f>
        <v>2655949.1016494748</v>
      </c>
      <c r="H23" s="393">
        <f>+'GSS-97'!H23</f>
        <v>2038887.083185775</v>
      </c>
      <c r="I23" s="393">
        <f>+'GSS-97'!I23</f>
        <v>1699610.57112559</v>
      </c>
      <c r="J23" s="393">
        <f>+'GSS-97'!J23</f>
        <v>1190490.06079732</v>
      </c>
      <c r="K23" s="393">
        <f>+'GSS-97'!K23</f>
        <v>1111281.34379891</v>
      </c>
      <c r="L23" s="393">
        <f>+'GSS-97'!L23</f>
        <v>925312.22630035505</v>
      </c>
      <c r="M23" s="393">
        <f>+'GSS-97'!M23</f>
        <v>1023920.916300355</v>
      </c>
      <c r="N23" s="393">
        <f>+'GSS-97'!N23</f>
        <v>1248501.916300355</v>
      </c>
      <c r="O23" s="20"/>
      <c r="P23" s="20"/>
      <c r="Q23" s="20"/>
      <c r="R23" s="18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</row>
    <row r="24" spans="1:38">
      <c r="A24" s="1" t="s">
        <v>740</v>
      </c>
      <c r="B24" s="17">
        <f>+'GSS-97'!B24</f>
        <v>4.7041782136482766</v>
      </c>
      <c r="C24" s="17">
        <f>+'GSS-97'!C24</f>
        <v>4.6698048750960632</v>
      </c>
      <c r="D24" s="17">
        <f>+'GSS-97'!D24</f>
        <v>4.6455372860971513</v>
      </c>
      <c r="E24" s="17">
        <f>+'GSS-97'!E24</f>
        <v>4.5597734709722477</v>
      </c>
      <c r="F24" s="17">
        <f>+'GSS-97'!F24</f>
        <v>4.4986898982728984</v>
      </c>
      <c r="G24" s="17">
        <f>+'GSS-97'!G24</f>
        <v>4.4908192632945001</v>
      </c>
      <c r="H24" s="17">
        <f>+'GSS-97'!H24</f>
        <v>4.4908220117216615</v>
      </c>
      <c r="I24" s="17">
        <f>+'GSS-97'!I24</f>
        <v>4.4805238962220262</v>
      </c>
      <c r="J24" s="17">
        <f>+'GSS-97'!J24</f>
        <v>4.4805208090872721</v>
      </c>
      <c r="K24" s="17">
        <f>+'GSS-97'!K24</f>
        <v>4.4551048099699733</v>
      </c>
      <c r="L24" s="17">
        <f>+'GSS-97'!L24</f>
        <v>4.4284118435616113</v>
      </c>
      <c r="M24" s="17">
        <f>+'GSS-97'!M24</f>
        <v>4.059706545792606</v>
      </c>
      <c r="N24" s="17">
        <f>+'GSS-97'!N24</f>
        <v>3.6774075165103266</v>
      </c>
      <c r="O24" s="20"/>
      <c r="P24" s="20"/>
      <c r="Q24" s="20"/>
      <c r="R24" s="180"/>
      <c r="S24" s="20"/>
      <c r="T24" s="20"/>
      <c r="U24" s="20"/>
      <c r="V24" s="20"/>
      <c r="W24" s="20"/>
      <c r="X24" s="20"/>
      <c r="Y24" s="20"/>
      <c r="Z24" s="20"/>
    </row>
    <row r="25" spans="1:38" s="22" customFormat="1">
      <c r="A25" s="1"/>
      <c r="B25" s="29"/>
      <c r="R25" s="131"/>
    </row>
    <row r="26" spans="1:38" s="108" customFormat="1" ht="18.75" customHeight="1">
      <c r="A26" s="105" t="s">
        <v>448</v>
      </c>
      <c r="B26" s="108">
        <f t="shared" ref="B26:C28" si="17">B18-B22</f>
        <v>0</v>
      </c>
      <c r="C26" s="108">
        <f t="shared" si="17"/>
        <v>-34376.5</v>
      </c>
      <c r="D26" s="108">
        <f t="shared" ref="D26:E28" si="18">D18-D22</f>
        <v>11294.5</v>
      </c>
      <c r="E26" s="108">
        <f t="shared" si="18"/>
        <v>-7283</v>
      </c>
      <c r="F26" s="108">
        <f t="shared" ref="F26:G28" si="19">F18-F22</f>
        <v>-9107</v>
      </c>
      <c r="G26" s="108">
        <f t="shared" si="19"/>
        <v>-10863.5</v>
      </c>
      <c r="H26" s="108">
        <f t="shared" ref="H26:I28" si="20">H18-H22</f>
        <v>-51457</v>
      </c>
      <c r="I26" s="108">
        <f t="shared" si="20"/>
        <v>4392</v>
      </c>
      <c r="J26" s="108">
        <f t="shared" ref="J26:K28" si="21">J18-J22</f>
        <v>-65060.5</v>
      </c>
      <c r="K26" s="108">
        <f t="shared" si="21"/>
        <v>-41903</v>
      </c>
      <c r="L26" s="108">
        <f t="shared" ref="L26:M26" si="22">L18-L22</f>
        <v>4430</v>
      </c>
      <c r="M26" s="108">
        <f t="shared" si="22"/>
        <v>-29506.5</v>
      </c>
      <c r="N26" s="108">
        <f t="shared" ref="N26" si="23">N18-N22</f>
        <v>-11014</v>
      </c>
      <c r="R26" s="211"/>
    </row>
    <row r="27" spans="1:38" s="30" customFormat="1">
      <c r="A27" s="110" t="s">
        <v>449</v>
      </c>
      <c r="B27" s="30">
        <f t="shared" si="17"/>
        <v>0</v>
      </c>
      <c r="C27" s="30">
        <f t="shared" si="17"/>
        <v>-151073.91086427262</v>
      </c>
      <c r="D27" s="30">
        <f t="shared" si="18"/>
        <v>56808.813056889456</v>
      </c>
      <c r="E27" s="30">
        <f t="shared" si="18"/>
        <v>-19428.726598531473</v>
      </c>
      <c r="F27" s="30">
        <f t="shared" si="19"/>
        <v>-28341.853603619151</v>
      </c>
      <c r="G27" s="30">
        <f t="shared" si="19"/>
        <v>-35267.455118770245</v>
      </c>
      <c r="H27" s="30">
        <f t="shared" si="20"/>
        <v>-147729.92687618197</v>
      </c>
      <c r="I27" s="30">
        <f t="shared" si="20"/>
        <v>91866.858084409265</v>
      </c>
      <c r="J27" s="30">
        <f t="shared" si="21"/>
        <v>-253758.2715498592</v>
      </c>
      <c r="K27" s="30">
        <f t="shared" si="21"/>
        <v>-163248.89403219463</v>
      </c>
      <c r="L27" s="30">
        <f t="shared" ref="L27:M27" si="24">L19-L23</f>
        <v>35282.895852147136</v>
      </c>
      <c r="M27" s="30">
        <f t="shared" si="24"/>
        <v>-43954.33508425951</v>
      </c>
      <c r="N27" s="30">
        <f t="shared" ref="N27" si="25">N19-N23</f>
        <v>-9563.458223794587</v>
      </c>
      <c r="R27" s="190"/>
    </row>
    <row r="28" spans="1:38">
      <c r="A28" s="196" t="s">
        <v>741</v>
      </c>
      <c r="B28" s="29">
        <f t="shared" si="17"/>
        <v>0</v>
      </c>
      <c r="C28" s="29">
        <f t="shared" si="17"/>
        <v>2.4564651371307811E-2</v>
      </c>
      <c r="D28" s="29">
        <f t="shared" si="18"/>
        <v>9.078873201533888E-3</v>
      </c>
      <c r="E28" s="29">
        <f t="shared" si="18"/>
        <v>2.6185022185956974E-2</v>
      </c>
      <c r="F28" s="29">
        <f t="shared" si="19"/>
        <v>2.1886032174565528E-2</v>
      </c>
      <c r="G28" s="29">
        <f t="shared" si="19"/>
        <v>2.3285620197310841E-2</v>
      </c>
      <c r="H28" s="29">
        <f t="shared" si="20"/>
        <v>0.20706313766064177</v>
      </c>
      <c r="I28" s="29">
        <f t="shared" si="20"/>
        <v>0.18812534271210435</v>
      </c>
      <c r="J28" s="29">
        <f t="shared" si="21"/>
        <v>0.1881284298468584</v>
      </c>
      <c r="K28" s="29">
        <f t="shared" si="21"/>
        <v>0.11291173535310328</v>
      </c>
      <c r="L28" s="29">
        <f t="shared" ref="L28:M28" si="26">L20-L24</f>
        <v>7.3414119408044876E-2</v>
      </c>
      <c r="M28" s="29">
        <f t="shared" si="26"/>
        <v>0.34050440758644651</v>
      </c>
      <c r="N28" s="29">
        <f t="shared" ref="N28" si="27">N20-N24</f>
        <v>9.4186489056202749E-2</v>
      </c>
      <c r="O28" s="20"/>
      <c r="P28" s="20"/>
      <c r="Q28" s="20"/>
      <c r="R28" s="180"/>
      <c r="S28" s="20"/>
      <c r="T28" s="20"/>
      <c r="U28" s="20"/>
      <c r="V28" s="20"/>
      <c r="W28" s="20"/>
      <c r="X28" s="20"/>
      <c r="Y28" s="20"/>
      <c r="Z28" s="20"/>
    </row>
    <row r="29" spans="1:38">
      <c r="A29" s="196"/>
      <c r="B29" s="29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180"/>
      <c r="S29" s="20"/>
      <c r="T29" s="20"/>
      <c r="U29" s="20"/>
      <c r="V29" s="20"/>
      <c r="W29" s="20"/>
      <c r="X29" s="20"/>
      <c r="Y29" s="20"/>
      <c r="Z29" s="20"/>
    </row>
    <row r="30" spans="1:38" s="22" customFormat="1" ht="18.75" customHeight="1">
      <c r="A30" s="31" t="s">
        <v>285</v>
      </c>
      <c r="B30" s="394">
        <v>377659</v>
      </c>
      <c r="C30" s="394">
        <v>395423</v>
      </c>
      <c r="D30" s="394">
        <v>488423</v>
      </c>
      <c r="E30" s="394">
        <v>536672</v>
      </c>
      <c r="F30" s="394">
        <v>587389</v>
      </c>
      <c r="G30" s="394">
        <v>590967</v>
      </c>
      <c r="H30" s="394">
        <v>412968</v>
      </c>
      <c r="I30" s="394">
        <v>394138</v>
      </c>
      <c r="J30" s="394">
        <v>211056</v>
      </c>
      <c r="K30" s="394">
        <v>217950</v>
      </c>
      <c r="L30" s="394">
        <v>223792</v>
      </c>
      <c r="M30" s="394">
        <v>233122</v>
      </c>
      <c r="N30" s="394">
        <v>338905</v>
      </c>
      <c r="R30" s="131"/>
    </row>
    <row r="31" spans="1:38">
      <c r="A31" s="1" t="s">
        <v>284</v>
      </c>
      <c r="B31" s="107">
        <f t="shared" ref="B31:N31" si="28">B18-B30</f>
        <v>-10413</v>
      </c>
      <c r="C31" s="107">
        <f t="shared" si="28"/>
        <v>-10413</v>
      </c>
      <c r="D31" s="107">
        <f t="shared" si="28"/>
        <v>-10413</v>
      </c>
      <c r="E31" s="107">
        <f t="shared" si="28"/>
        <v>-10413</v>
      </c>
      <c r="F31" s="107">
        <f t="shared" si="28"/>
        <v>-10413</v>
      </c>
      <c r="G31" s="107">
        <f t="shared" si="28"/>
        <v>-10413</v>
      </c>
      <c r="H31" s="107">
        <f t="shared" si="28"/>
        <v>-10413</v>
      </c>
      <c r="I31" s="107">
        <f t="shared" si="28"/>
        <v>-10413</v>
      </c>
      <c r="J31" s="107">
        <f t="shared" si="28"/>
        <v>-10413</v>
      </c>
      <c r="K31" s="107">
        <f t="shared" si="28"/>
        <v>-10413</v>
      </c>
      <c r="L31" s="107">
        <f t="shared" si="28"/>
        <v>-10413</v>
      </c>
      <c r="M31" s="107">
        <f t="shared" si="28"/>
        <v>-10413</v>
      </c>
      <c r="N31" s="107">
        <f t="shared" si="28"/>
        <v>-10413</v>
      </c>
      <c r="O31" s="20"/>
      <c r="P31" s="20"/>
      <c r="Q31" s="20"/>
      <c r="R31" s="180"/>
      <c r="S31" s="20"/>
      <c r="T31" s="20"/>
      <c r="U31" s="20"/>
      <c r="V31" s="20"/>
      <c r="W31" s="20"/>
      <c r="X31" s="20"/>
      <c r="Y31" s="20"/>
      <c r="Z31" s="20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17"/>
  <dimension ref="A1:AN41"/>
  <sheetViews>
    <sheetView topLeftCell="F1" zoomScale="50" workbookViewId="0">
      <selection activeCell="N30" sqref="N30"/>
    </sheetView>
  </sheetViews>
  <sheetFormatPr defaultRowHeight="20.25"/>
  <cols>
    <col min="1" max="1" width="41.21875" style="4" bestFit="1" customWidth="1"/>
    <col min="2" max="2" width="19.21875" style="10" bestFit="1" customWidth="1"/>
    <col min="3" max="3" width="18.33203125" style="10" customWidth="1"/>
    <col min="4" max="7" width="15.88671875" style="10" bestFit="1" customWidth="1"/>
    <col min="8" max="10" width="15.44140625" style="10" bestFit="1" customWidth="1"/>
    <col min="11" max="11" width="15.109375" style="10" bestFit="1" customWidth="1"/>
    <col min="12" max="22" width="15" style="10" bestFit="1" customWidth="1"/>
    <col min="23" max="23" width="13.44140625" style="10" bestFit="1" customWidth="1"/>
    <col min="24" max="26" width="15" style="10" bestFit="1" customWidth="1"/>
    <col min="27" max="27" width="14.33203125" style="10" bestFit="1" customWidth="1"/>
    <col min="28" max="34" width="15" style="10" bestFit="1" customWidth="1"/>
    <col min="35" max="35" width="13.44140625" style="10" customWidth="1"/>
    <col min="36" max="38" width="15" style="10" bestFit="1" customWidth="1"/>
    <col min="39" max="39" width="14.33203125" style="10" bestFit="1" customWidth="1"/>
    <col min="40" max="40" width="12.109375" style="10" bestFit="1" customWidth="1"/>
    <col min="41" max="16384" width="8.88671875" style="10"/>
  </cols>
  <sheetData>
    <row r="1" spans="1:40">
      <c r="C1" s="13" t="s">
        <v>55</v>
      </c>
      <c r="D1" s="28">
        <f>SUM('GSS-09'!D1,'GSS-97'!D1,'GSS-62'!D1)</f>
        <v>1762659</v>
      </c>
      <c r="E1" s="24"/>
      <c r="F1" s="24"/>
      <c r="G1" s="24"/>
      <c r="H1" s="24"/>
      <c r="I1" s="28"/>
      <c r="J1" s="24"/>
      <c r="K1" s="24"/>
      <c r="L1" s="24"/>
      <c r="M1" s="24"/>
      <c r="N1" s="24"/>
      <c r="O1" s="13" t="s">
        <v>55</v>
      </c>
      <c r="P1" s="28">
        <f>SUM('GSS-09'!P1,'GSS-97'!P1,'GSS-62'!P1)</f>
        <v>1762659</v>
      </c>
      <c r="AA1" s="13" t="s">
        <v>55</v>
      </c>
      <c r="AB1" s="28">
        <f>SUM('GSS-09'!AB1,'GSS-97'!AB1,'GSS-62'!AB1)</f>
        <v>1762659</v>
      </c>
      <c r="AM1" s="13" t="s">
        <v>55</v>
      </c>
      <c r="AN1" s="28">
        <f>SUM('GSS-09'!AN1,'GSS-97'!AN1,'GSS-62'!AN1)</f>
        <v>1762659</v>
      </c>
    </row>
    <row r="2" spans="1:40">
      <c r="C2" s="131" t="s">
        <v>751</v>
      </c>
      <c r="D2" s="28">
        <f>SUM('GSS-09'!D2,'GSS-97'!D2,'GSS-62'!D2)</f>
        <v>4675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131" t="s">
        <v>860</v>
      </c>
      <c r="P2" s="28">
        <f>SUM('GSS-09'!P2,'GSS-97'!P2,'GSS-62'!P2)</f>
        <v>5000</v>
      </c>
      <c r="AA2" s="131" t="s">
        <v>884</v>
      </c>
      <c r="AB2" s="28">
        <f>SUM('GSS-09'!AB2,'GSS-97'!AB2,'GSS-62'!AB2)</f>
        <v>5150</v>
      </c>
      <c r="AM2" s="131" t="s">
        <v>908</v>
      </c>
      <c r="AN2" s="28">
        <f>SUM('GSS-09'!AN2,'GSS-97'!AN2,'GSS-62'!AN2)</f>
        <v>5150</v>
      </c>
    </row>
    <row r="3" spans="1:40">
      <c r="A3" s="4" t="s">
        <v>1</v>
      </c>
      <c r="B3" s="10">
        <v>30</v>
      </c>
      <c r="C3" s="24">
        <v>31</v>
      </c>
      <c r="D3" s="24">
        <v>31</v>
      </c>
      <c r="E3" s="24">
        <v>30</v>
      </c>
      <c r="F3" s="24">
        <v>31</v>
      </c>
      <c r="G3" s="24"/>
      <c r="H3" s="24"/>
      <c r="I3" s="24"/>
      <c r="J3" s="24"/>
      <c r="K3" s="24"/>
      <c r="L3" s="24">
        <v>30</v>
      </c>
      <c r="M3" s="24">
        <v>31</v>
      </c>
      <c r="N3" s="24">
        <v>30</v>
      </c>
      <c r="O3" s="24">
        <v>31</v>
      </c>
      <c r="P3" s="24">
        <v>31</v>
      </c>
      <c r="Q3" s="10">
        <v>30</v>
      </c>
      <c r="R3" s="10">
        <v>31</v>
      </c>
      <c r="X3" s="10">
        <v>30</v>
      </c>
      <c r="Y3" s="10">
        <v>31</v>
      </c>
      <c r="Z3" s="10">
        <v>30</v>
      </c>
      <c r="AA3" s="10">
        <v>31</v>
      </c>
      <c r="AB3" s="10">
        <v>31</v>
      </c>
      <c r="AC3" s="10">
        <v>30</v>
      </c>
      <c r="AD3" s="10">
        <v>31</v>
      </c>
    </row>
    <row r="4" spans="1:40">
      <c r="B4" s="46">
        <v>40695</v>
      </c>
      <c r="C4" s="46">
        <v>40725</v>
      </c>
      <c r="D4" s="46">
        <v>40756</v>
      </c>
      <c r="E4" s="46">
        <v>40787</v>
      </c>
      <c r="F4" s="46">
        <v>40817</v>
      </c>
      <c r="G4" s="46">
        <v>40848</v>
      </c>
      <c r="H4" s="46">
        <v>40878</v>
      </c>
      <c r="I4" s="46">
        <v>40909</v>
      </c>
      <c r="J4" s="46">
        <v>40940</v>
      </c>
      <c r="K4" s="46">
        <v>40969</v>
      </c>
      <c r="L4" s="46">
        <v>41000</v>
      </c>
      <c r="M4" s="46">
        <v>41030</v>
      </c>
      <c r="N4" s="46">
        <v>41061</v>
      </c>
      <c r="O4" s="46">
        <v>41091</v>
      </c>
      <c r="P4" s="46">
        <v>41122</v>
      </c>
      <c r="Q4" s="46">
        <v>41153</v>
      </c>
      <c r="R4" s="46">
        <v>41183</v>
      </c>
      <c r="S4" s="46">
        <v>41214</v>
      </c>
      <c r="T4" s="46">
        <v>41244</v>
      </c>
      <c r="U4" s="46">
        <v>41275</v>
      </c>
      <c r="V4" s="46">
        <v>41306</v>
      </c>
      <c r="W4" s="46">
        <v>41334</v>
      </c>
      <c r="X4" s="46">
        <v>41365</v>
      </c>
      <c r="Y4" s="46">
        <v>41395</v>
      </c>
      <c r="Z4" s="46">
        <v>41426</v>
      </c>
      <c r="AA4" s="46">
        <v>41456</v>
      </c>
      <c r="AB4" s="46">
        <v>41487</v>
      </c>
      <c r="AC4" s="46">
        <v>41518</v>
      </c>
      <c r="AD4" s="46">
        <v>41548</v>
      </c>
      <c r="AE4" s="46">
        <v>41579</v>
      </c>
      <c r="AF4" s="46">
        <v>41609</v>
      </c>
      <c r="AG4" s="46">
        <v>41640</v>
      </c>
      <c r="AH4" s="46">
        <v>41671</v>
      </c>
      <c r="AI4" s="46">
        <v>41699</v>
      </c>
      <c r="AJ4" s="46">
        <v>41730</v>
      </c>
      <c r="AK4" s="46">
        <v>41760</v>
      </c>
      <c r="AL4" s="46">
        <v>41791</v>
      </c>
      <c r="AM4" s="46">
        <v>41821</v>
      </c>
    </row>
    <row r="5" spans="1:40">
      <c r="A5" s="4" t="s">
        <v>343</v>
      </c>
      <c r="B5" s="46"/>
      <c r="C5" s="28">
        <f>SUM('GSS-09'!C5,'GSS-97'!C5,'GSS-62'!C5)</f>
        <v>144925</v>
      </c>
      <c r="D5" s="28">
        <f>SUM('GSS-09'!D5,'GSS-97'!D5,'GSS-62'!D5)</f>
        <v>144925</v>
      </c>
      <c r="E5" s="28">
        <f>SUM('GSS-09'!E5,'GSS-97'!E5,'GSS-62'!E5)</f>
        <v>140250</v>
      </c>
      <c r="F5" s="28">
        <f>SUM('GSS-09'!F5,'GSS-97'!F5,'GSS-62'!F5)</f>
        <v>144925</v>
      </c>
      <c r="G5" s="28"/>
      <c r="H5" s="28"/>
      <c r="I5" s="28"/>
      <c r="J5" s="28"/>
      <c r="K5" s="28"/>
      <c r="L5" s="28">
        <f>SUM('GSS-09'!L5,'GSS-97'!L5,'GSS-62'!L5)</f>
        <v>150000</v>
      </c>
      <c r="M5" s="28">
        <f>SUM('GSS-09'!M5,'GSS-97'!M5,'GSS-62'!M5)</f>
        <v>155000</v>
      </c>
      <c r="N5" s="28">
        <f>SUM('GSS-09'!N5,'GSS-97'!N5,'GSS-62'!N5)</f>
        <v>150000</v>
      </c>
      <c r="O5" s="28">
        <f>SUM('GSS-09'!O5,'GSS-97'!O5,'GSS-62'!O5)</f>
        <v>155000</v>
      </c>
      <c r="P5" s="28">
        <f>SUM('GSS-09'!P5,'GSS-97'!P5,'GSS-62'!P5)</f>
        <v>155000</v>
      </c>
      <c r="Q5" s="28">
        <f>SUM('GSS-09'!Q5,'GSS-97'!Q5,'GSS-62'!Q5)</f>
        <v>150000</v>
      </c>
      <c r="R5" s="28">
        <f>SUM('GSS-09'!R5,'GSS-97'!R5,'GSS-62'!R5)</f>
        <v>155000</v>
      </c>
      <c r="S5" s="28"/>
      <c r="T5" s="28"/>
      <c r="U5" s="28"/>
      <c r="V5" s="28"/>
      <c r="W5" s="28"/>
      <c r="X5" s="28">
        <f>SUM('GSS-09'!X5,'GSS-97'!X5,'GSS-62'!X5)</f>
        <v>154500</v>
      </c>
      <c r="Y5" s="28">
        <f>SUM('GSS-09'!Y5,'GSS-97'!Y5,'GSS-62'!Y5)</f>
        <v>159650</v>
      </c>
      <c r="Z5" s="28">
        <f>SUM('GSS-09'!Z5,'GSS-97'!Z5,'GSS-62'!Z5)</f>
        <v>154500</v>
      </c>
      <c r="AA5" s="28">
        <f>SUM('GSS-09'!AA5,'GSS-97'!AA5,'GSS-62'!AA5)</f>
        <v>159650</v>
      </c>
      <c r="AB5" s="28">
        <f>SUM('GSS-09'!AB5,'GSS-97'!AB5,'GSS-62'!AB5)</f>
        <v>159650</v>
      </c>
      <c r="AC5" s="28">
        <f>SUM('GSS-09'!AC5,'GSS-97'!AC5,'GSS-62'!AC5)</f>
        <v>154500</v>
      </c>
      <c r="AD5" s="28">
        <f>SUM('GSS-09'!AD5,'GSS-97'!AD5,'GSS-62'!AD5)</f>
        <v>159650</v>
      </c>
      <c r="AE5" s="28"/>
      <c r="AF5" s="28"/>
      <c r="AG5" s="28"/>
      <c r="AH5" s="28"/>
      <c r="AI5" s="28"/>
      <c r="AJ5" s="28">
        <f>SUM('GSS-09'!AJ5,'GSS-97'!AJ5,'GSS-62'!AJ5)</f>
        <v>154500</v>
      </c>
      <c r="AK5" s="28">
        <f>SUM('GSS-09'!AK5,'GSS-97'!AK5,'GSS-62'!AK5)</f>
        <v>159650</v>
      </c>
      <c r="AL5" s="28">
        <f>SUM('GSS-09'!AL5,'GSS-97'!AL5,'GSS-62'!AL5)</f>
        <v>154500</v>
      </c>
      <c r="AM5" s="28">
        <f>SUM('GSS-09'!AM5,'GSS-97'!AM5,'GSS-62'!AM5)</f>
        <v>159650</v>
      </c>
    </row>
    <row r="6" spans="1:40" s="28" customFormat="1">
      <c r="A6" s="205" t="s">
        <v>193</v>
      </c>
      <c r="C6" s="28">
        <f>SUM('GSS-09'!C6,'GSS-97'!C6,'GSS-62'!C6)</f>
        <v>197994</v>
      </c>
      <c r="D6" s="28">
        <f>SUM('GSS-09'!D6,'GSS-97'!D6,'GSS-62'!D6)</f>
        <v>166919</v>
      </c>
      <c r="E6" s="28">
        <f>SUM('GSS-09'!E6,'GSS-97'!E6,'GSS-62'!E6)</f>
        <v>161526</v>
      </c>
      <c r="F6" s="28">
        <f>SUM('GSS-09'!F6,'GSS-97'!F6,'GSS-62'!F6)</f>
        <v>166839</v>
      </c>
      <c r="G6" s="28">
        <f>SUM('GSS-09'!G6,'GSS-97'!G6,'GSS-62'!G6)</f>
        <v>10669</v>
      </c>
      <c r="H6" s="28">
        <f>SUM('GSS-09'!H6,'GSS-97'!H6,'GSS-62'!H6)</f>
        <v>0</v>
      </c>
      <c r="I6" s="28">
        <f>SUM('GSS-09'!I6,'GSS-97'!I6,'GSS-62'!I6)</f>
        <v>6745</v>
      </c>
      <c r="J6" s="28">
        <f>SUM('GSS-09'!J6,'GSS-97'!J6,'GSS-62'!J6)</f>
        <v>0</v>
      </c>
      <c r="K6" s="28">
        <f>SUM('GSS-09'!K6,'GSS-97'!K6,'GSS-62'!K6)</f>
        <v>10601</v>
      </c>
      <c r="L6" s="28">
        <f>SUM('GSS-09'!L6,'GSS-97'!L6,'GSS-62'!L6)</f>
        <v>5842</v>
      </c>
      <c r="M6" s="28">
        <f>SUM('GSS-09'!M6,'GSS-97'!M6,'GSS-62'!M6)</f>
        <v>190144</v>
      </c>
      <c r="N6" s="28">
        <f>SUM('GSS-09'!N6,'GSS-97'!N6,'GSS-62'!N6)</f>
        <v>188498</v>
      </c>
      <c r="O6" s="28">
        <f>SUM('GSS-09'!O6,'GSS-97'!O6,'GSS-62'!O6)</f>
        <v>155000</v>
      </c>
      <c r="P6" s="28">
        <f>SUM('GSS-09'!P6,'GSS-97'!P6,'GSS-62'!P6)</f>
        <v>155000</v>
      </c>
      <c r="Q6" s="28">
        <f>SUM('GSS-09'!Q6,'GSS-97'!Q6,'GSS-62'!Q6)</f>
        <v>150000</v>
      </c>
      <c r="R6" s="28">
        <f>SUM('GSS-09'!R6,'GSS-97'!R6,'GSS-62'!R6)</f>
        <v>155000</v>
      </c>
      <c r="S6" s="28">
        <f>SUM('GSS-09'!S6,'GSS-97'!S6,'GSS-62'!S6)</f>
        <v>0</v>
      </c>
      <c r="T6" s="28">
        <f>SUM('GSS-09'!T6,'GSS-97'!T6,'GSS-62'!T6)</f>
        <v>0</v>
      </c>
      <c r="U6" s="28">
        <f>SUM('GSS-09'!U6,'GSS-97'!U6,'GSS-62'!U6)</f>
        <v>0</v>
      </c>
      <c r="V6" s="28">
        <f>SUM('GSS-09'!V6,'GSS-97'!V6,'GSS-62'!V6)</f>
        <v>0</v>
      </c>
      <c r="W6" s="28">
        <f>SUM('GSS-09'!W6,'GSS-97'!W6,'GSS-62'!W6)</f>
        <v>0</v>
      </c>
      <c r="X6" s="28">
        <f>SUM('GSS-09'!X6,'GSS-97'!X6,'GSS-62'!X6)</f>
        <v>154500</v>
      </c>
      <c r="Y6" s="28">
        <f>SUM('GSS-09'!Y6,'GSS-97'!Y6,'GSS-62'!Y6)</f>
        <v>159650</v>
      </c>
      <c r="Z6" s="28">
        <f>SUM('GSS-09'!Z6,'GSS-97'!Z6,'GSS-62'!Z6)</f>
        <v>154500</v>
      </c>
      <c r="AA6" s="28">
        <f>SUM('GSS-09'!AA6,'GSS-97'!AA6,'GSS-62'!AA6)</f>
        <v>159650</v>
      </c>
      <c r="AB6" s="28">
        <f>SUM('GSS-09'!AB6,'GSS-97'!AB6,'GSS-62'!AB6)</f>
        <v>159650</v>
      </c>
      <c r="AC6" s="28">
        <f>SUM('GSS-09'!AC6,'GSS-97'!AC6,'GSS-62'!AC6)</f>
        <v>154500</v>
      </c>
      <c r="AD6" s="28">
        <f>SUM('GSS-09'!AD6,'GSS-97'!AD6,'GSS-62'!AD6)</f>
        <v>159650</v>
      </c>
      <c r="AE6" s="28">
        <f>SUM('GSS-09'!AE6,'GSS-97'!AE6,'GSS-62'!AE6)</f>
        <v>0</v>
      </c>
      <c r="AF6" s="28">
        <f>SUM('GSS-09'!AF6,'GSS-97'!AF6,'GSS-62'!AF6)</f>
        <v>0</v>
      </c>
      <c r="AG6" s="28">
        <f>SUM('GSS-09'!AG6,'GSS-97'!AG6,'GSS-62'!AG6)</f>
        <v>0</v>
      </c>
      <c r="AH6" s="28">
        <f>SUM('GSS-09'!AH6,'GSS-97'!AH6,'GSS-62'!AH6)</f>
        <v>0</v>
      </c>
      <c r="AI6" s="28">
        <f>SUM('GSS-09'!AI6,'GSS-97'!AI6,'GSS-62'!AI6)</f>
        <v>0</v>
      </c>
      <c r="AJ6" s="28">
        <f>SUM('GSS-09'!AJ6,'GSS-97'!AJ6,'GSS-62'!AJ6)</f>
        <v>154500</v>
      </c>
      <c r="AK6" s="28">
        <f>SUM('GSS-09'!AK6,'GSS-97'!AK6,'GSS-62'!AK6)</f>
        <v>159650</v>
      </c>
      <c r="AL6" s="28">
        <f>SUM('GSS-09'!AL6,'GSS-97'!AL6,'GSS-62'!AL6)</f>
        <v>154500</v>
      </c>
      <c r="AM6" s="28">
        <f>SUM('GSS-09'!AM6,'GSS-97'!AM6,'GSS-62'!AM6)</f>
        <v>159650</v>
      </c>
    </row>
    <row r="7" spans="1:40" s="16" customFormat="1">
      <c r="A7" s="7" t="s">
        <v>57</v>
      </c>
      <c r="C7" s="16">
        <f>C8/C6</f>
        <v>4.4915885575167378</v>
      </c>
      <c r="D7" s="16">
        <f>D8/D6</f>
        <v>4.4900414937759345</v>
      </c>
      <c r="E7" s="16">
        <f>E8/E6</f>
        <v>3.9057568103914866</v>
      </c>
      <c r="F7" s="16">
        <f>F8/F6</f>
        <v>3.8421414396536164</v>
      </c>
      <c r="G7" s="16">
        <f>G8/G6</f>
        <v>3.4706060606060611</v>
      </c>
      <c r="L7" s="16">
        <f t="shared" ref="L7:R7" si="0">L8/L6</f>
        <v>2.1504060913705585</v>
      </c>
      <c r="M7" s="16">
        <f t="shared" si="0"/>
        <v>2.0762549907388346</v>
      </c>
      <c r="N7" s="16">
        <f t="shared" si="0"/>
        <v>2.4481426775612811</v>
      </c>
      <c r="O7" s="16">
        <f t="shared" si="0"/>
        <v>2.7515000000000001</v>
      </c>
      <c r="P7" s="16">
        <f t="shared" si="0"/>
        <v>3.0059999999999998</v>
      </c>
      <c r="Q7" s="16">
        <f t="shared" si="0"/>
        <v>2.9609999999999999</v>
      </c>
      <c r="R7" s="16">
        <f t="shared" si="0"/>
        <v>3.0330000000000008</v>
      </c>
      <c r="X7" s="16">
        <f t="shared" ref="X7:AD7" si="1">X8/X6</f>
        <v>3.4345000000000008</v>
      </c>
      <c r="Y7" s="16">
        <f t="shared" si="1"/>
        <v>3.4525000000000001</v>
      </c>
      <c r="Z7" s="16">
        <f t="shared" si="1"/>
        <v>3.4874999999999998</v>
      </c>
      <c r="AA7" s="16">
        <f t="shared" si="1"/>
        <v>3.5315000000000007</v>
      </c>
      <c r="AB7" s="16">
        <f t="shared" si="1"/>
        <v>3.5545000000000004</v>
      </c>
      <c r="AC7" s="16">
        <f t="shared" si="1"/>
        <v>3.5595000000000008</v>
      </c>
      <c r="AD7" s="16">
        <f t="shared" si="1"/>
        <v>3.5935000000000001</v>
      </c>
      <c r="AJ7" s="16">
        <f>AJ8/AJ6</f>
        <v>3.7490000000000001</v>
      </c>
      <c r="AK7" s="16">
        <f>AK8/AK6</f>
        <v>3.766</v>
      </c>
      <c r="AL7" s="16">
        <f>AL8/AL6</f>
        <v>3.7909999999999999</v>
      </c>
      <c r="AM7" s="16">
        <f>AM8/AM6</f>
        <v>0</v>
      </c>
    </row>
    <row r="8" spans="1:40">
      <c r="A8" s="4" t="s">
        <v>58</v>
      </c>
      <c r="B8" s="25"/>
      <c r="C8" s="39">
        <f>SUM('GSS-09'!C8,'GSS-97'!C8,'GSS-62'!C8)</f>
        <v>889307.58485696907</v>
      </c>
      <c r="D8" s="39">
        <f>SUM('GSS-09'!D8,'GSS-97'!D8,'GSS-62'!D8)</f>
        <v>749473.23609958519</v>
      </c>
      <c r="E8" s="39">
        <f>SUM('GSS-09'!E8,'GSS-97'!E8,'GSS-62'!E8)</f>
        <v>630881.27455529524</v>
      </c>
      <c r="F8" s="39">
        <f>SUM('GSS-09'!F8,'GSS-97'!F8,'GSS-62'!F8)</f>
        <v>641019.03565036971</v>
      </c>
      <c r="G8" s="39">
        <f>SUM('GSS-09'!G8,'GSS-97'!G8,'GSS-62'!G8)</f>
        <v>37027.896060606065</v>
      </c>
      <c r="L8" s="39">
        <f>SUM('GSS-09'!L8,'GSS-97'!L8,'GSS-62'!L8)</f>
        <v>12562.672385786802</v>
      </c>
      <c r="M8" s="39">
        <f>SUM('GSS-09'!M8,'GSS-97'!M8,'GSS-62'!M8)</f>
        <v>394787.42895904498</v>
      </c>
      <c r="N8" s="39">
        <f>SUM('GSS-09'!N8,'GSS-97'!N8,'GSS-62'!N8)</f>
        <v>461469.99843494641</v>
      </c>
      <c r="O8" s="39">
        <f>SUM('GSS-09'!O8,'GSS-97'!O8,'GSS-62'!O8)</f>
        <v>426482.5</v>
      </c>
      <c r="P8" s="39">
        <f>SUM('GSS-09'!P8,'GSS-97'!P8,'GSS-62'!P8)</f>
        <v>465930</v>
      </c>
      <c r="Q8" s="39">
        <f>SUM('GSS-09'!Q8,'GSS-97'!Q8,'GSS-62'!Q8)</f>
        <v>444150</v>
      </c>
      <c r="R8" s="39">
        <f>SUM('GSS-09'!R8,'GSS-97'!R8,'GSS-62'!R8)</f>
        <v>470115.00000000012</v>
      </c>
      <c r="X8" s="39">
        <f>SUM('GSS-09'!X8,'GSS-97'!X8,'GSS-62'!X8)</f>
        <v>530630.25000000012</v>
      </c>
      <c r="Y8" s="39">
        <f>SUM('GSS-09'!Y8,'GSS-97'!Y8,'GSS-62'!Y8)</f>
        <v>551191.625</v>
      </c>
      <c r="Z8" s="39">
        <f>SUM('GSS-09'!Z8,'GSS-97'!Z8,'GSS-62'!Z8)</f>
        <v>538818.75</v>
      </c>
      <c r="AA8" s="39">
        <f>SUM('GSS-09'!AA8,'GSS-97'!AA8,'GSS-62'!AA8)</f>
        <v>563803.97500000009</v>
      </c>
      <c r="AB8" s="39">
        <f>SUM('GSS-09'!AB8,'GSS-97'!AB8,'GSS-62'!AB8)</f>
        <v>567475.92500000005</v>
      </c>
      <c r="AC8" s="39">
        <f>SUM('GSS-09'!AC8,'GSS-97'!AC8,'GSS-62'!AC8)</f>
        <v>549942.75000000012</v>
      </c>
      <c r="AD8" s="39">
        <f>SUM('GSS-09'!AD8,'GSS-97'!AD8,'GSS-62'!AD8)</f>
        <v>573702.27500000002</v>
      </c>
      <c r="AJ8" s="39">
        <f>SUM('GSS-09'!AJ8,'GSS-97'!AJ8,'GSS-62'!AJ8)</f>
        <v>579220.5</v>
      </c>
      <c r="AK8" s="39">
        <f>SUM('GSS-09'!AK8,'GSS-97'!AK8,'GSS-62'!AK8)</f>
        <v>601241.9</v>
      </c>
      <c r="AL8" s="39">
        <f>SUM('GSS-09'!AL8,'GSS-97'!AL8,'GSS-62'!AL8)</f>
        <v>585709.5</v>
      </c>
      <c r="AM8" s="39">
        <f>SUM('GSS-09'!AM8,'GSS-97'!AM8,'GSS-62'!AM8)</f>
        <v>0</v>
      </c>
    </row>
    <row r="9" spans="1:40">
      <c r="A9" s="4" t="s">
        <v>194</v>
      </c>
      <c r="H9" s="124">
        <f>H10/$D$1</f>
        <v>-0.18</v>
      </c>
      <c r="I9" s="124">
        <f>I10/$D$1</f>
        <v>-0.22429658260616489</v>
      </c>
      <c r="J9" s="124">
        <f>J10/$D$1</f>
        <v>-0.17974289978946581</v>
      </c>
      <c r="K9" s="124">
        <f>K10/$D$1</f>
        <v>-4.2556569364806236E-2</v>
      </c>
      <c r="L9" s="124">
        <f>L10/$D$1</f>
        <v>0</v>
      </c>
      <c r="T9" s="124"/>
      <c r="U9" s="124"/>
      <c r="V9" s="124"/>
      <c r="W9" s="124"/>
      <c r="AF9" s="124"/>
      <c r="AG9" s="124"/>
      <c r="AH9" s="124"/>
      <c r="AI9" s="124"/>
    </row>
    <row r="10" spans="1:40">
      <c r="A10" s="4" t="s">
        <v>344</v>
      </c>
      <c r="G10" s="107">
        <f>SUM('GSS-09'!G10,'GSS-97'!G10,'GSS-62'!G10)</f>
        <v>0</v>
      </c>
      <c r="H10" s="107">
        <f>SUM('GSS-09'!H10,'GSS-97'!H10,'GSS-62'!H10)</f>
        <v>-317278.62</v>
      </c>
      <c r="I10" s="107">
        <f>SUM('GSS-09'!I10,'GSS-97'!I10,'GSS-62'!I10)</f>
        <v>-395358.39</v>
      </c>
      <c r="J10" s="107">
        <f>SUM('GSS-09'!J10,'GSS-97'!J10,'GSS-62'!J10)</f>
        <v>-316825.44</v>
      </c>
      <c r="K10" s="107">
        <f>SUM('GSS-09'!K10,'GSS-97'!K10,'GSS-62'!K10)</f>
        <v>-75012.72</v>
      </c>
      <c r="L10" s="107">
        <f>SUM('GSS-09'!L10,'GSS-97'!L10,'GSS-62'!L10)</f>
        <v>0</v>
      </c>
      <c r="T10" s="107">
        <f>SUM('GSS-09'!T10,'GSS-97'!T10,'GSS-62'!T10)</f>
        <v>-317278.62</v>
      </c>
      <c r="U10" s="107">
        <f>SUM('GSS-09'!U10,'GSS-97'!U10,'GSS-62'!U10)</f>
        <v>-395358.39</v>
      </c>
      <c r="V10" s="107">
        <f>SUM('GSS-09'!V10,'GSS-97'!V10,'GSS-62'!V10)</f>
        <v>-316825.44</v>
      </c>
      <c r="W10" s="107">
        <f>SUM('GSS-09'!W10,'GSS-97'!W10,'GSS-62'!W10)</f>
        <v>-75012.72</v>
      </c>
      <c r="AF10" s="107">
        <f>SUM('GSS-09'!AF10,'GSS-97'!AF10,'GSS-62'!AF10)</f>
        <v>-317278.62</v>
      </c>
      <c r="AG10" s="107">
        <f>SUM('GSS-09'!AG10,'GSS-97'!AG10,'GSS-62'!AG10)</f>
        <v>-395358.39</v>
      </c>
      <c r="AH10" s="107">
        <f>SUM('GSS-09'!AH10,'GSS-97'!AH10,'GSS-62'!AH10)</f>
        <v>-316825.44</v>
      </c>
      <c r="AI10" s="107">
        <f>SUM('GSS-09'!AI10,'GSS-97'!AI10,'GSS-62'!AI10)</f>
        <v>-75012.72</v>
      </c>
    </row>
    <row r="11" spans="1:40" s="107" customFormat="1">
      <c r="A11" s="206" t="s">
        <v>195</v>
      </c>
      <c r="G11" s="107">
        <f>SUM('GSS-09'!G11,'GSS-97'!G11,'GSS-62'!G11)</f>
        <v>-9942</v>
      </c>
      <c r="H11" s="107">
        <f>SUM('GSS-09'!H11,'GSS-97'!H11,'GSS-62'!H11)</f>
        <v>-377964</v>
      </c>
      <c r="I11" s="107">
        <f>SUM('GSS-09'!I11,'GSS-97'!I11,'GSS-62'!I11)</f>
        <v>-290317</v>
      </c>
      <c r="J11" s="107">
        <f>SUM('GSS-09'!J11,'GSS-97'!J11,'GSS-62'!J11)</f>
        <v>-276644</v>
      </c>
      <c r="K11" s="107">
        <f>SUM('GSS-09'!K11,'GSS-97'!K11,'GSS-62'!K11)</f>
        <v>-46464</v>
      </c>
      <c r="L11" s="107">
        <f>SUM('GSS-09'!L11,'GSS-97'!L11,'GSS-62'!L11)</f>
        <v>-176869</v>
      </c>
      <c r="T11" s="107">
        <f>SUM('GSS-09'!T11,'GSS-97'!T11,'GSS-62'!T11)</f>
        <v>-317278.62</v>
      </c>
      <c r="U11" s="107">
        <f>SUM('GSS-09'!U11,'GSS-97'!U11,'GSS-62'!U11)</f>
        <v>-395358.39</v>
      </c>
      <c r="V11" s="107">
        <f>SUM('GSS-09'!V11,'GSS-97'!V11,'GSS-62'!V11)</f>
        <v>-316825.44</v>
      </c>
      <c r="W11" s="107">
        <f>SUM('GSS-09'!W11,'GSS-97'!W11,'GSS-62'!W11)</f>
        <v>-75012.72</v>
      </c>
      <c r="AF11" s="107">
        <f>SUM('GSS-09'!AF11,'GSS-97'!AF11,'GSS-62'!AF11)</f>
        <v>-317278.62</v>
      </c>
      <c r="AG11" s="107">
        <f>SUM('GSS-09'!AG11,'GSS-97'!AG11,'GSS-62'!AG11)</f>
        <v>-395358.39</v>
      </c>
      <c r="AH11" s="107">
        <f>SUM('GSS-09'!AH11,'GSS-97'!AH11,'GSS-62'!AH11)</f>
        <v>-316825.44</v>
      </c>
      <c r="AI11" s="107">
        <f>SUM('GSS-09'!AI11,'GSS-97'!AI11,'GSS-62'!AI11)</f>
        <v>-75012.72</v>
      </c>
    </row>
    <row r="12" spans="1:40">
      <c r="A12" s="4" t="s">
        <v>59</v>
      </c>
      <c r="G12" s="20">
        <f t="shared" ref="G12:L12" si="2">+F20</f>
        <v>4.5076560401123809</v>
      </c>
      <c r="H12" s="20">
        <f t="shared" si="2"/>
        <v>4.5011542810342098</v>
      </c>
      <c r="I12" s="20">
        <f t="shared" si="2"/>
        <v>4.5000713590463954</v>
      </c>
      <c r="J12" s="20">
        <f t="shared" si="2"/>
        <v>4.4686999127112701</v>
      </c>
      <c r="K12" s="20">
        <f t="shared" si="2"/>
        <v>4.4199240285851715</v>
      </c>
      <c r="L12" s="20">
        <f t="shared" si="2"/>
        <v>4.3548838568641166</v>
      </c>
      <c r="S12" s="20">
        <f>+R20</f>
        <v>3.2763967489240122</v>
      </c>
      <c r="T12" s="20">
        <f>+S20</f>
        <v>3.2763967489240122</v>
      </c>
      <c r="U12" s="20">
        <f>+T20</f>
        <v>3.2584746242349731</v>
      </c>
      <c r="V12" s="20">
        <f>+U20</f>
        <v>3.2169762696860107</v>
      </c>
      <c r="W12" s="20">
        <f>+V20</f>
        <v>3.1397263053209561</v>
      </c>
      <c r="AE12" s="20">
        <f>+AD20</f>
        <v>3.3947482474419677</v>
      </c>
      <c r="AF12" s="20">
        <f>+AE20</f>
        <v>3.3947482474419677</v>
      </c>
      <c r="AG12" s="20">
        <f>+AF20</f>
        <v>3.3764884924920167</v>
      </c>
      <c r="AH12" s="20">
        <f>+AG20</f>
        <v>3.3348491446761965</v>
      </c>
      <c r="AI12" s="20">
        <f>+AH20</f>
        <v>3.2577705987266574</v>
      </c>
    </row>
    <row r="13" spans="1:40">
      <c r="A13" s="4" t="s">
        <v>60</v>
      </c>
      <c r="G13" s="66">
        <f>SUM('GSS-09'!G13,'GSS-97'!G13,'GSS-62'!G13)</f>
        <v>-44983.204085301273</v>
      </c>
      <c r="H13" s="66">
        <f>SUM('GSS-09'!H13,'GSS-97'!H13,'GSS-62'!H13)</f>
        <v>-1702735.8163475404</v>
      </c>
      <c r="I13" s="66">
        <f>SUM('GSS-09'!I13,'GSS-97'!I13,'GSS-62'!I13)</f>
        <v>-1309537.8912788504</v>
      </c>
      <c r="J13" s="66">
        <f>SUM('GSS-09'!J13,'GSS-97'!J13,'GSS-62'!J13)</f>
        <v>-1274743.1893400801</v>
      </c>
      <c r="K13" s="66">
        <f>SUM('GSS-09'!K13,'GSS-97'!K13,'GSS-62'!K13)</f>
        <v>-207522.56171703592</v>
      </c>
      <c r="L13" s="66">
        <f>SUM('GSS-09'!L13,'GSS-97'!L13,'GSS-62'!L13)</f>
        <v>-792975.2128905938</v>
      </c>
      <c r="S13" s="30">
        <f>S11*S12</f>
        <v>0</v>
      </c>
      <c r="T13" s="66">
        <f>SUM('GSS-09'!T13,'GSS-97'!T13,'GSS-62'!T13)</f>
        <v>-1062092.503976417</v>
      </c>
      <c r="U13" s="66">
        <f>SUM('GSS-09'!U13,'GSS-97'!U13,'GSS-62'!U13)</f>
        <v>-1324100.1474903033</v>
      </c>
      <c r="V13" s="66">
        <f>SUM('GSS-09'!V13,'GSS-97'!V13,'GSS-62'!V13)</f>
        <v>-1061452.4428687207</v>
      </c>
      <c r="W13" s="66">
        <f>SUM('GSS-09'!W13,'GSS-97'!W13,'GSS-62'!W13)</f>
        <v>-249442.42525237941</v>
      </c>
      <c r="AE13" s="30">
        <f>AE11*AE12</f>
        <v>0</v>
      </c>
      <c r="AF13" s="66">
        <f>SUM('GSS-09'!AF13,'GSS-97'!AF13,'GSS-62'!AF13)</f>
        <v>-1100024.5712030069</v>
      </c>
      <c r="AG13" s="66">
        <f>SUM('GSS-09'!AG13,'GSS-97'!AG13,'GSS-62'!AG13)</f>
        <v>-1370780.7711216817</v>
      </c>
      <c r="AH13" s="66">
        <f>SUM('GSS-09'!AH13,'GSS-97'!AH13,'GSS-62'!AH13)</f>
        <v>-1098520.7793309442</v>
      </c>
      <c r="AI13" s="66">
        <f>SUM('GSS-09'!AI13,'GSS-97'!AI13,'GSS-62'!AI13)</f>
        <v>-259945.8843680245</v>
      </c>
    </row>
    <row r="14" spans="1:40" s="22" customFormat="1">
      <c r="A14" s="4" t="s">
        <v>813</v>
      </c>
      <c r="H14" s="108"/>
    </row>
    <row r="15" spans="1:40" s="16" customFormat="1">
      <c r="A15" s="7" t="s">
        <v>63</v>
      </c>
    </row>
    <row r="16" spans="1:40">
      <c r="A16" s="4" t="s">
        <v>64</v>
      </c>
      <c r="H16" s="30"/>
    </row>
    <row r="17" spans="1:38">
      <c r="A17" s="4" t="s">
        <v>347</v>
      </c>
      <c r="B17" s="124">
        <f>B18/$D$1</f>
        <v>0.58637830686479919</v>
      </c>
      <c r="C17" s="124">
        <f t="shared" ref="C17:N17" si="3">C18/$D$1</f>
        <v>0.69870519482214088</v>
      </c>
      <c r="D17" s="124">
        <f t="shared" si="3"/>
        <v>0.79340246752207888</v>
      </c>
      <c r="E17" s="124">
        <f t="shared" si="3"/>
        <v>0.88504015807935621</v>
      </c>
      <c r="F17" s="134">
        <f t="shared" si="3"/>
        <v>0.97969204480276673</v>
      </c>
      <c r="G17" s="124">
        <f t="shared" si="3"/>
        <v>0.98010448986446042</v>
      </c>
      <c r="H17" s="124">
        <f t="shared" si="3"/>
        <v>0.76567617446142444</v>
      </c>
      <c r="I17" s="124">
        <f t="shared" si="3"/>
        <v>0.60479877276319471</v>
      </c>
      <c r="J17" s="124">
        <f t="shared" si="3"/>
        <v>0.44785179663224706</v>
      </c>
      <c r="K17" s="134">
        <f t="shared" si="3"/>
        <v>0.42750583067967202</v>
      </c>
      <c r="L17" s="124">
        <f t="shared" si="3"/>
        <v>0.33047798808504653</v>
      </c>
      <c r="M17" s="124">
        <f t="shared" si="3"/>
        <v>0.43835137709562655</v>
      </c>
      <c r="N17" s="124">
        <f t="shared" si="3"/>
        <v>0.54529094963915314</v>
      </c>
      <c r="O17" s="124">
        <f>O18/$P$1</f>
        <v>0.63322627916119911</v>
      </c>
      <c r="P17" s="124">
        <f t="shared" ref="P17:Z17" si="4">P18/$P$1</f>
        <v>0.72116160868324508</v>
      </c>
      <c r="Q17" s="124">
        <f t="shared" si="4"/>
        <v>0.80626031467232173</v>
      </c>
      <c r="R17" s="134">
        <f t="shared" si="4"/>
        <v>0.8941956441943677</v>
      </c>
      <c r="S17" s="124">
        <f t="shared" si="4"/>
        <v>0.8941956441943677</v>
      </c>
      <c r="T17" s="124">
        <f t="shared" si="4"/>
        <v>0.71419564419436765</v>
      </c>
      <c r="U17" s="124">
        <f t="shared" si="4"/>
        <v>0.48989906158820273</v>
      </c>
      <c r="V17" s="124">
        <f t="shared" si="4"/>
        <v>0.3101561617987369</v>
      </c>
      <c r="W17" s="134">
        <f t="shared" si="4"/>
        <v>0.26759959243393067</v>
      </c>
      <c r="X17" s="124">
        <f t="shared" si="4"/>
        <v>0.35525125960267973</v>
      </c>
      <c r="Y17" s="124">
        <f t="shared" si="4"/>
        <v>0.44582464901038704</v>
      </c>
      <c r="Z17" s="124">
        <f t="shared" si="4"/>
        <v>0.53347631617913605</v>
      </c>
      <c r="AA17" s="124">
        <f>AA18/$AB$1</f>
        <v>0.62404970558684347</v>
      </c>
      <c r="AB17" s="124">
        <f t="shared" ref="AB17:AI17" si="5">AB18/$AB$1</f>
        <v>0.71462309499455079</v>
      </c>
      <c r="AC17" s="124">
        <f t="shared" si="5"/>
        <v>0.80227476216329974</v>
      </c>
      <c r="AD17" s="134">
        <f t="shared" si="5"/>
        <v>0.89284815157100716</v>
      </c>
      <c r="AE17" s="124">
        <f t="shared" si="5"/>
        <v>0.89284815157100716</v>
      </c>
      <c r="AF17" s="124">
        <f t="shared" si="5"/>
        <v>0.71284815157100723</v>
      </c>
      <c r="AG17" s="124">
        <f t="shared" si="5"/>
        <v>0.48855156896484231</v>
      </c>
      <c r="AH17" s="124">
        <f t="shared" si="5"/>
        <v>0.30880866917537647</v>
      </c>
      <c r="AI17" s="134">
        <f t="shared" si="5"/>
        <v>0.26625209981057024</v>
      </c>
      <c r="AJ17" s="124">
        <f>AJ18/$AB$1</f>
        <v>0.35390376697931925</v>
      </c>
      <c r="AK17" s="124">
        <f>AK18/$AB$1</f>
        <v>0.44447715638702662</v>
      </c>
      <c r="AL17" s="124">
        <f>AL18/$AB$1</f>
        <v>0.53212882355577562</v>
      </c>
    </row>
    <row r="18" spans="1:38">
      <c r="A18" s="4" t="s">
        <v>345</v>
      </c>
      <c r="B18" s="132">
        <f>SUM('GSS-09'!B18,'GSS-97'!B18,'GSS-62'!B18)</f>
        <v>1033585</v>
      </c>
      <c r="C18" s="132">
        <f t="shared" ref="C18:AL18" si="6">+B18+C6+C11</f>
        <v>1231579</v>
      </c>
      <c r="D18" s="132">
        <f t="shared" si="6"/>
        <v>1398498</v>
      </c>
      <c r="E18" s="132">
        <f t="shared" si="6"/>
        <v>1560024</v>
      </c>
      <c r="F18" s="132">
        <f t="shared" si="6"/>
        <v>1726863</v>
      </c>
      <c r="G18" s="132">
        <f t="shared" si="6"/>
        <v>1727590</v>
      </c>
      <c r="H18" s="132">
        <f>+G18+H6+H11</f>
        <v>1349626</v>
      </c>
      <c r="I18" s="132">
        <f t="shared" si="6"/>
        <v>1066054</v>
      </c>
      <c r="J18" s="132">
        <f t="shared" si="6"/>
        <v>789410</v>
      </c>
      <c r="K18" s="132">
        <f t="shared" si="6"/>
        <v>753547</v>
      </c>
      <c r="L18" s="132">
        <f t="shared" si="6"/>
        <v>582520</v>
      </c>
      <c r="M18" s="394">
        <f t="shared" si="6"/>
        <v>772664</v>
      </c>
      <c r="N18" s="394">
        <f t="shared" si="6"/>
        <v>961162</v>
      </c>
      <c r="O18" s="22">
        <f t="shared" si="6"/>
        <v>1116162</v>
      </c>
      <c r="P18" s="22">
        <f t="shared" si="6"/>
        <v>1271162</v>
      </c>
      <c r="Q18" s="22">
        <f t="shared" si="6"/>
        <v>1421162</v>
      </c>
      <c r="R18" s="22">
        <f t="shared" si="6"/>
        <v>1576162</v>
      </c>
      <c r="S18" s="22">
        <f t="shared" si="6"/>
        <v>1576162</v>
      </c>
      <c r="T18" s="22">
        <f t="shared" si="6"/>
        <v>1258883.3799999999</v>
      </c>
      <c r="U18" s="22">
        <f t="shared" si="6"/>
        <v>863524.98999999987</v>
      </c>
      <c r="V18" s="22">
        <f t="shared" si="6"/>
        <v>546699.54999999981</v>
      </c>
      <c r="W18" s="22">
        <f t="shared" si="6"/>
        <v>471686.82999999984</v>
      </c>
      <c r="X18" s="22">
        <f t="shared" si="6"/>
        <v>626186.82999999984</v>
      </c>
      <c r="Y18" s="22">
        <f t="shared" si="6"/>
        <v>785836.82999999984</v>
      </c>
      <c r="Z18" s="22">
        <f t="shared" si="6"/>
        <v>940336.82999999984</v>
      </c>
      <c r="AA18" s="22">
        <f t="shared" si="6"/>
        <v>1099986.8299999998</v>
      </c>
      <c r="AB18" s="22">
        <f t="shared" si="6"/>
        <v>1259636.8299999998</v>
      </c>
      <c r="AC18" s="22">
        <f t="shared" si="6"/>
        <v>1414136.8299999998</v>
      </c>
      <c r="AD18" s="22">
        <f t="shared" si="6"/>
        <v>1573786.8299999998</v>
      </c>
      <c r="AE18" s="22">
        <f t="shared" si="6"/>
        <v>1573786.8299999998</v>
      </c>
      <c r="AF18" s="22">
        <f t="shared" si="6"/>
        <v>1256508.21</v>
      </c>
      <c r="AG18" s="22">
        <f t="shared" si="6"/>
        <v>861149.82</v>
      </c>
      <c r="AH18" s="22">
        <f t="shared" si="6"/>
        <v>544324.37999999989</v>
      </c>
      <c r="AI18" s="22">
        <f t="shared" si="6"/>
        <v>469311.65999999992</v>
      </c>
      <c r="AJ18" s="22">
        <f t="shared" si="6"/>
        <v>623811.65999999992</v>
      </c>
      <c r="AK18" s="22">
        <f t="shared" si="6"/>
        <v>783461.65999999992</v>
      </c>
      <c r="AL18" s="22">
        <f t="shared" si="6"/>
        <v>937961.65999999992</v>
      </c>
    </row>
    <row r="19" spans="1:38" s="32" customFormat="1">
      <c r="A19" s="4" t="s">
        <v>346</v>
      </c>
      <c r="B19" s="186">
        <f>SUM('GSS-09'!B19,'GSS-97'!B19,'GSS-62'!B19)</f>
        <v>4873423.3012343664</v>
      </c>
      <c r="C19" s="186">
        <f t="shared" ref="C19:AL19" si="7">+B19+C8+C13</f>
        <v>5762730.8860913357</v>
      </c>
      <c r="D19" s="186">
        <f t="shared" si="7"/>
        <v>6512204.1221909206</v>
      </c>
      <c r="E19" s="186">
        <f t="shared" si="7"/>
        <v>7143085.3967462163</v>
      </c>
      <c r="F19" s="186">
        <f t="shared" si="7"/>
        <v>7784104.4323965861</v>
      </c>
      <c r="G19" s="186">
        <f t="shared" si="7"/>
        <v>7776149.1243718909</v>
      </c>
      <c r="H19" s="186">
        <f>+G19+H8+H13</f>
        <v>6073413.3080243506</v>
      </c>
      <c r="I19" s="186">
        <f t="shared" si="7"/>
        <v>4763875.4167455006</v>
      </c>
      <c r="J19" s="186">
        <f t="shared" si="7"/>
        <v>3489132.2274054205</v>
      </c>
      <c r="K19" s="186">
        <f t="shared" si="7"/>
        <v>3281609.6656883848</v>
      </c>
      <c r="L19" s="186">
        <f t="shared" si="7"/>
        <v>2501197.1251835776</v>
      </c>
      <c r="M19" s="393">
        <f t="shared" si="7"/>
        <v>2895984.5541426227</v>
      </c>
      <c r="N19" s="393">
        <f t="shared" si="7"/>
        <v>3357454.5525775691</v>
      </c>
      <c r="O19" s="32">
        <f t="shared" si="7"/>
        <v>3783937.0525775691</v>
      </c>
      <c r="P19" s="32">
        <f t="shared" si="7"/>
        <v>4249867.0525775691</v>
      </c>
      <c r="Q19" s="32">
        <f t="shared" si="7"/>
        <v>4694017.0525775691</v>
      </c>
      <c r="R19" s="32">
        <f t="shared" si="7"/>
        <v>5164132.0525775691</v>
      </c>
      <c r="S19" s="32">
        <f t="shared" si="7"/>
        <v>5164132.0525775691</v>
      </c>
      <c r="T19" s="32">
        <f t="shared" si="7"/>
        <v>4102039.5486011524</v>
      </c>
      <c r="U19" s="32">
        <f t="shared" si="7"/>
        <v>2777939.4011108493</v>
      </c>
      <c r="V19" s="32">
        <f t="shared" si="7"/>
        <v>1716486.9582421286</v>
      </c>
      <c r="W19" s="32">
        <f t="shared" si="7"/>
        <v>1467044.5329897492</v>
      </c>
      <c r="X19" s="32">
        <f t="shared" si="7"/>
        <v>1997674.7829897492</v>
      </c>
      <c r="Y19" s="32">
        <f t="shared" si="7"/>
        <v>2548866.4079897492</v>
      </c>
      <c r="Z19" s="32">
        <f t="shared" si="7"/>
        <v>3087685.1579897492</v>
      </c>
      <c r="AA19" s="32">
        <f t="shared" si="7"/>
        <v>3651489.1329897493</v>
      </c>
      <c r="AB19" s="32">
        <f t="shared" si="7"/>
        <v>4218965.0579897491</v>
      </c>
      <c r="AC19" s="32">
        <f t="shared" si="7"/>
        <v>4768907.8079897491</v>
      </c>
      <c r="AD19" s="32">
        <f t="shared" si="7"/>
        <v>5342610.0829897495</v>
      </c>
      <c r="AE19" s="32">
        <f t="shared" si="7"/>
        <v>5342610.0829897495</v>
      </c>
      <c r="AF19" s="32">
        <f t="shared" si="7"/>
        <v>4242585.5117867421</v>
      </c>
      <c r="AG19" s="32">
        <f t="shared" si="7"/>
        <v>2871804.7406650605</v>
      </c>
      <c r="AH19" s="32">
        <f t="shared" si="7"/>
        <v>1773283.9613341163</v>
      </c>
      <c r="AI19" s="32">
        <f t="shared" si="7"/>
        <v>1513338.0769660918</v>
      </c>
      <c r="AJ19" s="32">
        <f t="shared" si="7"/>
        <v>2092558.5769660918</v>
      </c>
      <c r="AK19" s="32">
        <f t="shared" si="7"/>
        <v>2693800.4769660919</v>
      </c>
      <c r="AL19" s="32">
        <f t="shared" si="7"/>
        <v>3279509.9769660919</v>
      </c>
    </row>
    <row r="20" spans="1:38">
      <c r="A20" s="4" t="s">
        <v>65</v>
      </c>
      <c r="B20" s="20">
        <f t="shared" ref="B20:AL20" si="8">+B19/B18</f>
        <v>4.7150677508229766</v>
      </c>
      <c r="C20" s="20">
        <f t="shared" si="8"/>
        <v>4.6791402631023553</v>
      </c>
      <c r="D20" s="20">
        <f t="shared" si="8"/>
        <v>4.6565702076019564</v>
      </c>
      <c r="E20" s="20">
        <f t="shared" si="8"/>
        <v>4.578830451804726</v>
      </c>
      <c r="F20" s="135">
        <f t="shared" si="8"/>
        <v>4.5076560401123809</v>
      </c>
      <c r="G20" s="20">
        <f t="shared" si="8"/>
        <v>4.5011542810342098</v>
      </c>
      <c r="H20" s="20">
        <f t="shared" si="8"/>
        <v>4.5000713590463954</v>
      </c>
      <c r="I20" s="20">
        <f t="shared" si="8"/>
        <v>4.4686999127112701</v>
      </c>
      <c r="J20" s="20">
        <f t="shared" si="8"/>
        <v>4.4199240285851715</v>
      </c>
      <c r="K20" s="20">
        <f t="shared" si="8"/>
        <v>4.3548838568641166</v>
      </c>
      <c r="L20" s="20">
        <f t="shared" si="8"/>
        <v>4.2937532190887486</v>
      </c>
      <c r="M20" s="20">
        <f t="shared" si="8"/>
        <v>3.7480516164110438</v>
      </c>
      <c r="N20" s="20">
        <f t="shared" si="8"/>
        <v>3.493120361164475</v>
      </c>
      <c r="O20" s="20">
        <f t="shared" si="8"/>
        <v>3.3901324830782351</v>
      </c>
      <c r="P20" s="20">
        <f t="shared" si="8"/>
        <v>3.343293028408314</v>
      </c>
      <c r="Q20" s="20">
        <f t="shared" si="8"/>
        <v>3.3029429808688731</v>
      </c>
      <c r="R20" s="135">
        <f t="shared" si="8"/>
        <v>3.2763967489240122</v>
      </c>
      <c r="S20" s="20">
        <f t="shared" si="8"/>
        <v>3.2763967489240122</v>
      </c>
      <c r="T20" s="20">
        <f t="shared" si="8"/>
        <v>3.2584746242349731</v>
      </c>
      <c r="U20" s="20">
        <f t="shared" si="8"/>
        <v>3.2169762696860107</v>
      </c>
      <c r="V20" s="20">
        <f t="shared" si="8"/>
        <v>3.1397263053209561</v>
      </c>
      <c r="W20" s="20">
        <f t="shared" si="8"/>
        <v>3.1102088073770253</v>
      </c>
      <c r="X20" s="20">
        <f t="shared" si="8"/>
        <v>3.19022165156324</v>
      </c>
      <c r="Y20" s="20">
        <f t="shared" si="8"/>
        <v>3.2435059171122709</v>
      </c>
      <c r="Z20" s="20">
        <f t="shared" si="8"/>
        <v>3.2835948348314186</v>
      </c>
      <c r="AA20" s="20">
        <f t="shared" si="8"/>
        <v>3.3195753198151925</v>
      </c>
      <c r="AB20" s="20">
        <f t="shared" si="8"/>
        <v>3.3493503504416822</v>
      </c>
      <c r="AC20" s="20">
        <f t="shared" si="8"/>
        <v>3.3723100246174549</v>
      </c>
      <c r="AD20" s="135">
        <f t="shared" si="8"/>
        <v>3.3947482474419677</v>
      </c>
      <c r="AE20" s="20">
        <f t="shared" si="8"/>
        <v>3.3947482474419677</v>
      </c>
      <c r="AF20" s="20">
        <f t="shared" si="8"/>
        <v>3.3764884924920167</v>
      </c>
      <c r="AG20" s="20">
        <f t="shared" si="8"/>
        <v>3.3348491446761965</v>
      </c>
      <c r="AH20" s="20">
        <f t="shared" si="8"/>
        <v>3.2577705987266574</v>
      </c>
      <c r="AI20" s="20">
        <f t="shared" si="8"/>
        <v>3.2245908336607108</v>
      </c>
      <c r="AJ20" s="20">
        <f t="shared" si="8"/>
        <v>3.3544717278386429</v>
      </c>
      <c r="AK20" s="20">
        <f t="shared" si="8"/>
        <v>3.4383309541478932</v>
      </c>
      <c r="AL20" s="20">
        <f t="shared" si="8"/>
        <v>3.4964222066028712</v>
      </c>
    </row>
    <row r="21" spans="1:38">
      <c r="A21" s="112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0"/>
      <c r="M21" s="20"/>
      <c r="N21" s="20"/>
      <c r="O21" s="20"/>
      <c r="P21" s="20"/>
      <c r="Q21" s="20"/>
      <c r="R21" s="18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</row>
    <row r="22" spans="1:38">
      <c r="A22" s="31" t="s">
        <v>447</v>
      </c>
      <c r="B22" s="132">
        <f>SUM('GSS-09'!B22,'GSS-97'!B22,'GSS-62'!B22)</f>
        <v>1033585</v>
      </c>
      <c r="C22" s="132">
        <f>SUM('GSS-09'!C22,'GSS-97'!C22,'GSS-62'!C22)</f>
        <v>1231579</v>
      </c>
      <c r="D22" s="132">
        <f>SUM('GSS-09'!D22,'GSS-97'!D22,'GSS-62'!D22)</f>
        <v>1398498</v>
      </c>
      <c r="E22" s="132">
        <f>SUM('GSS-09'!E22,'GSS-97'!E22,'GSS-62'!E22)</f>
        <v>1560024</v>
      </c>
      <c r="F22" s="132">
        <f>SUM('GSS-09'!F22,'GSS-97'!F22,'GSS-62'!F22)</f>
        <v>1726863</v>
      </c>
      <c r="G22" s="132">
        <f>SUM('GSS-09'!G22,'GSS-97'!G22,'GSS-62'!G22)</f>
        <v>1727590</v>
      </c>
      <c r="H22" s="132">
        <f>SUM('GSS-09'!H22,'GSS-97'!H22,'GSS-62'!H22)</f>
        <v>1349626</v>
      </c>
      <c r="I22" s="132">
        <f>SUM('GSS-09'!I22,'GSS-97'!I22,'GSS-62'!I22)</f>
        <v>1066054</v>
      </c>
      <c r="J22" s="132">
        <f>SUM('GSS-09'!J22,'GSS-97'!J22,'GSS-62'!J22)</f>
        <v>789410</v>
      </c>
      <c r="K22" s="394">
        <f>SUM('GSS-09'!K22,'GSS-97'!K22,'GSS-62'!K22)</f>
        <v>753547</v>
      </c>
      <c r="L22" s="394">
        <f>SUM('GSS-09'!L22,'GSS-97'!L22,'GSS-62'!L22)</f>
        <v>582520</v>
      </c>
      <c r="M22" s="394">
        <f>SUM('GSS-09'!M22,'GSS-97'!M22,'GSS-62'!M22)</f>
        <v>772362</v>
      </c>
      <c r="N22" s="394">
        <f>SUM('GSS-09'!N22,'GSS-97'!N22,'GSS-62'!N22)</f>
        <v>960860</v>
      </c>
      <c r="O22" s="20"/>
      <c r="P22" s="20"/>
      <c r="Q22" s="20"/>
      <c r="R22" s="18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</row>
    <row r="23" spans="1:38" s="32" customFormat="1">
      <c r="A23" s="112" t="s">
        <v>445</v>
      </c>
      <c r="B23" s="186">
        <f>SUM('GSS-09'!B23,'GSS-97'!B23,'GSS-62'!B23)</f>
        <v>4873423.3012343664</v>
      </c>
      <c r="C23" s="186">
        <f>SUM('GSS-09'!C23,'GSS-97'!C23,'GSS-62'!C23)</f>
        <v>5750081.3312343666</v>
      </c>
      <c r="D23" s="186">
        <f>SUM('GSS-09'!D23,'GSS-97'!D23,'GSS-62'!D23)</f>
        <v>6489615.9612343665</v>
      </c>
      <c r="E23" s="186">
        <f>SUM('GSS-09'!E23,'GSS-97'!E23,'GSS-62'!E23)</f>
        <v>7129388.1412343662</v>
      </c>
      <c r="F23" s="186">
        <f>SUM('GSS-09'!F23,'GSS-97'!F23,'GSS-62'!F23)</f>
        <v>7776456.5188343674</v>
      </c>
      <c r="G23" s="186">
        <f>SUM('GSS-09'!G23,'GSS-97'!G23,'GSS-62'!G23)</f>
        <v>7770276.1716000848</v>
      </c>
      <c r="H23" s="186">
        <f>SUM('GSS-09'!H23,'GSS-97'!H23,'GSS-62'!H23)</f>
        <v>6070643.1412699437</v>
      </c>
      <c r="I23" s="186">
        <f>SUM('GSS-09'!I23,'GSS-97'!I23,'GSS-62'!I23)</f>
        <v>4786406.2561808899</v>
      </c>
      <c r="J23" s="186">
        <f>SUM('GSS-09'!J23,'GSS-97'!J23,'GSS-62'!J23)</f>
        <v>3545301.0237440336</v>
      </c>
      <c r="K23" s="393">
        <f>SUM('GSS-09'!K23,'GSS-97'!K23,'GSS-62'!K23)</f>
        <v>3371827.8574408507</v>
      </c>
      <c r="L23" s="393">
        <f>SUM('GSS-09'!L23,'GSS-97'!L23,'GSS-62'!L23)</f>
        <v>2593534.8450143216</v>
      </c>
      <c r="M23" s="393">
        <f>SUM('GSS-09'!M23,'GSS-97'!M23,'GSS-62'!M23)</f>
        <v>3025528.0394162047</v>
      </c>
      <c r="N23" s="393">
        <f>SUM('GSS-09'!N23,'GSS-97'!N23,'GSS-62'!N23)</f>
        <v>3510495.6994162048</v>
      </c>
      <c r="R23" s="197"/>
    </row>
    <row r="24" spans="1:38">
      <c r="A24" s="1" t="s">
        <v>740</v>
      </c>
      <c r="B24" s="387">
        <f t="shared" ref="B24:L24" si="9">B23/B22</f>
        <v>4.7150677508229766</v>
      </c>
      <c r="C24" s="387">
        <f t="shared" si="9"/>
        <v>4.6688692574608419</v>
      </c>
      <c r="D24" s="387">
        <f t="shared" si="9"/>
        <v>4.6404184784206821</v>
      </c>
      <c r="E24" s="387">
        <f t="shared" si="9"/>
        <v>4.5700502948892874</v>
      </c>
      <c r="F24" s="387">
        <f t="shared" si="9"/>
        <v>4.5032272501260193</v>
      </c>
      <c r="G24" s="387">
        <f t="shared" si="9"/>
        <v>4.4977547749177091</v>
      </c>
      <c r="H24" s="387">
        <f t="shared" si="9"/>
        <v>4.4980188150420517</v>
      </c>
      <c r="I24" s="387">
        <f t="shared" si="9"/>
        <v>4.4898347139834289</v>
      </c>
      <c r="J24" s="387">
        <f t="shared" si="9"/>
        <v>4.4910769102798715</v>
      </c>
      <c r="K24" s="395">
        <f t="shared" si="9"/>
        <v>4.4746085611658604</v>
      </c>
      <c r="L24" s="395">
        <f t="shared" si="9"/>
        <v>4.4522674672360116</v>
      </c>
      <c r="M24" s="395">
        <f t="shared" ref="M24:N24" si="10">M23/M22</f>
        <v>3.9172409303101454</v>
      </c>
      <c r="N24" s="395">
        <f t="shared" si="10"/>
        <v>3.6534934323587254</v>
      </c>
      <c r="O24" s="20"/>
      <c r="P24" s="20"/>
      <c r="Q24" s="20"/>
      <c r="R24" s="180"/>
      <c r="S24" s="20"/>
      <c r="T24" s="20"/>
      <c r="U24" s="20"/>
      <c r="V24" s="20"/>
      <c r="W24" s="20"/>
      <c r="X24" s="20"/>
      <c r="Y24" s="20"/>
      <c r="Z24" s="20"/>
    </row>
    <row r="25" spans="1:38" s="22" customFormat="1">
      <c r="A25" s="1"/>
      <c r="B25" s="29"/>
      <c r="R25" s="131"/>
    </row>
    <row r="26" spans="1:38">
      <c r="A26" s="31" t="s">
        <v>448</v>
      </c>
      <c r="B26" s="22">
        <f t="shared" ref="B26:C28" si="11">B18-B22</f>
        <v>0</v>
      </c>
      <c r="C26" s="108">
        <f t="shared" si="11"/>
        <v>0</v>
      </c>
      <c r="D26" s="108">
        <f t="shared" ref="D26:E28" si="12">D18-D22</f>
        <v>0</v>
      </c>
      <c r="E26" s="108">
        <f t="shared" si="12"/>
        <v>0</v>
      </c>
      <c r="F26" s="108">
        <f t="shared" ref="F26:G28" si="13">F18-F22</f>
        <v>0</v>
      </c>
      <c r="G26" s="108">
        <f t="shared" si="13"/>
        <v>0</v>
      </c>
      <c r="H26" s="108">
        <f t="shared" ref="H26:I28" si="14">H18-H22</f>
        <v>0</v>
      </c>
      <c r="I26" s="108">
        <f t="shared" si="14"/>
        <v>0</v>
      </c>
      <c r="J26" s="108">
        <f t="shared" ref="J26:K28" si="15">J18-J22</f>
        <v>0</v>
      </c>
      <c r="K26" s="108">
        <f t="shared" si="15"/>
        <v>0</v>
      </c>
      <c r="L26" s="108">
        <f t="shared" ref="L26:N28" si="16">L18-L22</f>
        <v>0</v>
      </c>
      <c r="M26" s="108">
        <f t="shared" si="16"/>
        <v>302</v>
      </c>
      <c r="N26" s="108">
        <f t="shared" si="16"/>
        <v>302</v>
      </c>
      <c r="O26" s="20"/>
      <c r="P26" s="20"/>
      <c r="Q26" s="20"/>
      <c r="R26" s="180"/>
      <c r="S26" s="20"/>
      <c r="T26" s="20"/>
      <c r="U26" s="20"/>
      <c r="V26" s="20"/>
      <c r="W26" s="20"/>
      <c r="X26" s="20"/>
      <c r="Y26" s="20"/>
      <c r="Z26" s="20"/>
    </row>
    <row r="27" spans="1:38" s="30" customFormat="1">
      <c r="A27" s="110" t="s">
        <v>449</v>
      </c>
      <c r="B27" s="30">
        <f t="shared" si="11"/>
        <v>0</v>
      </c>
      <c r="C27" s="30">
        <f t="shared" si="11"/>
        <v>12649.554856969044</v>
      </c>
      <c r="D27" s="30">
        <f t="shared" si="12"/>
        <v>22588.160956554115</v>
      </c>
      <c r="E27" s="30">
        <f t="shared" si="12"/>
        <v>13697.255511850119</v>
      </c>
      <c r="F27" s="30">
        <f t="shared" si="13"/>
        <v>7647.9135622186586</v>
      </c>
      <c r="G27" s="30">
        <f t="shared" si="13"/>
        <v>5872.9527718061581</v>
      </c>
      <c r="H27" s="30">
        <f t="shared" si="14"/>
        <v>2770.1667544068769</v>
      </c>
      <c r="I27" s="30">
        <f t="shared" si="14"/>
        <v>-22530.839435389265</v>
      </c>
      <c r="J27" s="30">
        <f t="shared" si="15"/>
        <v>-56168.796338613145</v>
      </c>
      <c r="K27" s="30">
        <f t="shared" si="15"/>
        <v>-90218.191752465907</v>
      </c>
      <c r="L27" s="30">
        <f t="shared" si="16"/>
        <v>-92337.719830743968</v>
      </c>
      <c r="M27" s="30">
        <f t="shared" si="16"/>
        <v>-129543.48527358193</v>
      </c>
      <c r="N27" s="30">
        <f t="shared" ref="N27" si="17">N19-N23</f>
        <v>-153041.14683863567</v>
      </c>
      <c r="R27" s="190"/>
    </row>
    <row r="28" spans="1:38" s="24" customFormat="1">
      <c r="A28" s="196" t="s">
        <v>741</v>
      </c>
      <c r="B28" s="29">
        <f t="shared" si="11"/>
        <v>0</v>
      </c>
      <c r="C28" s="29">
        <f t="shared" si="11"/>
        <v>1.0271005641513398E-2</v>
      </c>
      <c r="D28" s="29">
        <f t="shared" si="12"/>
        <v>1.6151729181274277E-2</v>
      </c>
      <c r="E28" s="29">
        <f t="shared" si="12"/>
        <v>8.7801569154386527E-3</v>
      </c>
      <c r="F28" s="29">
        <f t="shared" si="13"/>
        <v>4.4287899863615365E-3</v>
      </c>
      <c r="G28" s="29">
        <f t="shared" si="13"/>
        <v>3.3995061165006391E-3</v>
      </c>
      <c r="H28" s="29">
        <f t="shared" si="14"/>
        <v>2.0525440043437371E-3</v>
      </c>
      <c r="I28" s="29">
        <f t="shared" si="14"/>
        <v>-2.1134801272158832E-2</v>
      </c>
      <c r="J28" s="29">
        <f t="shared" si="15"/>
        <v>-7.1152881694700021E-2</v>
      </c>
      <c r="K28" s="29">
        <f t="shared" si="15"/>
        <v>-0.11972470430174376</v>
      </c>
      <c r="L28" s="29">
        <f t="shared" si="16"/>
        <v>-0.158514248147263</v>
      </c>
      <c r="M28" s="29">
        <f t="shared" si="16"/>
        <v>-0.16918931389910163</v>
      </c>
      <c r="N28" s="29">
        <f t="shared" ref="N28" si="18">N20-N24</f>
        <v>-0.16037307119425037</v>
      </c>
      <c r="O28" s="21"/>
      <c r="P28" s="21"/>
      <c r="Q28" s="21"/>
      <c r="R28" s="180"/>
      <c r="S28" s="21"/>
      <c r="T28" s="21"/>
      <c r="U28" s="21"/>
      <c r="V28" s="21"/>
      <c r="W28" s="21"/>
      <c r="X28" s="21"/>
      <c r="Y28" s="21"/>
      <c r="Z28" s="21"/>
    </row>
    <row r="29" spans="1:38" s="24" customFormat="1">
      <c r="A29" s="196"/>
      <c r="B29" s="29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180"/>
      <c r="S29" s="21"/>
      <c r="T29" s="21"/>
      <c r="U29" s="21"/>
      <c r="V29" s="21"/>
      <c r="W29" s="21"/>
      <c r="X29" s="21"/>
      <c r="Y29" s="21"/>
      <c r="Z29" s="21"/>
    </row>
    <row r="30" spans="1:38" s="24" customFormat="1">
      <c r="A30" s="31" t="s">
        <v>285</v>
      </c>
      <c r="B30" s="132">
        <f>SUM('GSS-09'!B30,'GSS-97'!B30,'GSS-62'!B30)</f>
        <v>1033585</v>
      </c>
      <c r="C30" s="132">
        <f>SUM('GSS-09'!C30,'GSS-97'!C30,'GSS-62'!C30)</f>
        <v>1231579</v>
      </c>
      <c r="D30" s="132">
        <f>SUM('GSS-09'!D30,'GSS-97'!D30,'GSS-62'!D30)</f>
        <v>1398498</v>
      </c>
      <c r="E30" s="132">
        <f>SUM('GSS-09'!E30,'GSS-97'!E30,'GSS-62'!E30)</f>
        <v>1560024</v>
      </c>
      <c r="F30" s="132">
        <f>SUM('GSS-09'!F30,'GSS-97'!F30,'GSS-62'!F30)</f>
        <v>1726863</v>
      </c>
      <c r="G30" s="132">
        <f>SUM('GSS-09'!G30,'GSS-97'!G30,'GSS-62'!G30)</f>
        <v>1727590</v>
      </c>
      <c r="H30" s="132">
        <f>SUM('GSS-09'!H30,'GSS-97'!H30,'GSS-62'!H30)</f>
        <v>1349626</v>
      </c>
      <c r="I30" s="132">
        <f>SUM('GSS-09'!I30,'GSS-97'!I30,'GSS-62'!I30)</f>
        <v>1066054</v>
      </c>
      <c r="J30" s="132">
        <f>SUM('GSS-09'!J30,'GSS-97'!J30,'GSS-62'!J30)</f>
        <v>789410</v>
      </c>
      <c r="K30" s="132">
        <f>SUM('GSS-09'!K30,'GSS-97'!K30,'GSS-62'!K30)</f>
        <v>753547</v>
      </c>
      <c r="L30" s="132">
        <f>SUM('GSS-09'!L30,'GSS-97'!L30,'GSS-62'!L30)</f>
        <v>582252</v>
      </c>
      <c r="M30" s="132">
        <f>SUM('GSS-09'!M30,'GSS-97'!M30,'GSS-62'!M30)</f>
        <v>772362</v>
      </c>
      <c r="N30" s="132">
        <f>SUM('GSS-09'!N30,'GSS-97'!N30,'GSS-62'!N30)</f>
        <v>960860</v>
      </c>
      <c r="O30" s="21"/>
      <c r="P30" s="21"/>
      <c r="Q30" s="21"/>
      <c r="R30" s="180"/>
      <c r="S30" s="21"/>
      <c r="T30" s="21"/>
      <c r="U30" s="21"/>
      <c r="V30" s="21"/>
      <c r="W30" s="21"/>
      <c r="X30" s="21"/>
      <c r="Y30" s="21"/>
      <c r="Z30" s="21"/>
    </row>
    <row r="31" spans="1:38" s="24" customFormat="1">
      <c r="A31" s="1" t="s">
        <v>284</v>
      </c>
      <c r="B31" s="108">
        <f t="shared" ref="B31:L31" si="19">B18-B30</f>
        <v>0</v>
      </c>
      <c r="C31" s="108">
        <f t="shared" si="19"/>
        <v>0</v>
      </c>
      <c r="D31" s="108">
        <f t="shared" si="19"/>
        <v>0</v>
      </c>
      <c r="E31" s="108">
        <f t="shared" si="19"/>
        <v>0</v>
      </c>
      <c r="F31" s="108">
        <f t="shared" si="19"/>
        <v>0</v>
      </c>
      <c r="G31" s="108">
        <f t="shared" si="19"/>
        <v>0</v>
      </c>
      <c r="H31" s="108">
        <f t="shared" si="19"/>
        <v>0</v>
      </c>
      <c r="I31" s="108">
        <f t="shared" si="19"/>
        <v>0</v>
      </c>
      <c r="J31" s="108">
        <f t="shared" si="19"/>
        <v>0</v>
      </c>
      <c r="K31" s="108">
        <f t="shared" si="19"/>
        <v>0</v>
      </c>
      <c r="L31" s="108">
        <f t="shared" si="19"/>
        <v>268</v>
      </c>
      <c r="M31" s="108">
        <f t="shared" ref="M31:N31" si="20">M18-M30</f>
        <v>302</v>
      </c>
      <c r="N31" s="108">
        <f t="shared" si="20"/>
        <v>302</v>
      </c>
      <c r="O31" s="21"/>
      <c r="P31" s="21"/>
      <c r="Q31" s="21"/>
      <c r="R31" s="180"/>
      <c r="S31" s="21"/>
      <c r="T31" s="21"/>
      <c r="U31" s="21"/>
      <c r="V31" s="21"/>
      <c r="W31" s="21"/>
      <c r="X31" s="21"/>
      <c r="Y31" s="21"/>
      <c r="Z31" s="21"/>
    </row>
    <row r="32" spans="1:38" s="24" customFormat="1">
      <c r="A32" s="207"/>
      <c r="B32" s="128"/>
      <c r="C32" s="128"/>
      <c r="D32" s="128"/>
      <c r="E32" s="128"/>
      <c r="F32" s="140"/>
      <c r="G32" s="128"/>
      <c r="H32" s="128"/>
      <c r="I32" s="128"/>
      <c r="J32" s="128"/>
      <c r="K32" s="140"/>
      <c r="L32" s="128"/>
      <c r="M32" s="128"/>
      <c r="N32" s="128"/>
      <c r="O32" s="128"/>
      <c r="P32" s="128"/>
      <c r="Q32" s="128"/>
      <c r="R32" s="140"/>
      <c r="S32" s="128"/>
      <c r="T32" s="128"/>
      <c r="U32" s="128"/>
      <c r="V32" s="128"/>
      <c r="W32" s="140"/>
      <c r="X32" s="128"/>
      <c r="Y32" s="128"/>
      <c r="Z32" s="128"/>
      <c r="AA32" s="128"/>
      <c r="AB32" s="128"/>
      <c r="AC32" s="128"/>
      <c r="AD32" s="140"/>
      <c r="AE32" s="128"/>
      <c r="AF32" s="128"/>
      <c r="AG32" s="128"/>
      <c r="AH32" s="128"/>
      <c r="AI32" s="140"/>
      <c r="AJ32" s="128"/>
      <c r="AK32" s="128"/>
      <c r="AL32" s="128"/>
    </row>
    <row r="33" spans="1:38" s="28" customFormat="1">
      <c r="A33" s="207"/>
      <c r="E33" s="129"/>
      <c r="F33" s="129"/>
    </row>
    <row r="34" spans="1:38" s="39" customFormat="1">
      <c r="A34" s="208"/>
    </row>
    <row r="35" spans="1:38" s="24" customFormat="1">
      <c r="A35" s="170"/>
      <c r="B35" s="17"/>
      <c r="C35" s="17"/>
      <c r="D35" s="17"/>
      <c r="E35" s="17"/>
      <c r="F35" s="195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95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95"/>
      <c r="AE35" s="17"/>
      <c r="AF35" s="17"/>
      <c r="AG35" s="17"/>
      <c r="AH35" s="17"/>
      <c r="AI35" s="17"/>
      <c r="AJ35" s="17"/>
      <c r="AK35" s="17"/>
      <c r="AL35" s="17"/>
    </row>
    <row r="36" spans="1:38" s="24" customFormat="1">
      <c r="A36" s="170"/>
      <c r="B36" s="17"/>
      <c r="C36" s="17"/>
      <c r="D36" s="17"/>
      <c r="E36" s="17"/>
      <c r="F36" s="195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95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95"/>
      <c r="AE36" s="17"/>
      <c r="AF36" s="17"/>
      <c r="AG36" s="17"/>
      <c r="AH36" s="17"/>
      <c r="AI36" s="17"/>
      <c r="AJ36" s="17"/>
      <c r="AK36" s="17"/>
      <c r="AL36" s="17"/>
    </row>
    <row r="37" spans="1:38" s="24" customFormat="1">
      <c r="A37" s="170"/>
      <c r="B37" s="17"/>
      <c r="C37" s="17"/>
      <c r="D37" s="17"/>
      <c r="E37" s="17"/>
      <c r="F37" s="195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95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95"/>
      <c r="AE37" s="17"/>
      <c r="AF37" s="17"/>
      <c r="AG37" s="17"/>
      <c r="AH37" s="17"/>
      <c r="AI37" s="17"/>
      <c r="AJ37" s="17"/>
      <c r="AK37" s="17"/>
      <c r="AL37" s="17"/>
    </row>
    <row r="38" spans="1:38" s="24" customFormat="1">
      <c r="A38" s="170"/>
      <c r="B38" s="17"/>
      <c r="C38" s="17"/>
      <c r="D38" s="17"/>
      <c r="E38" s="17"/>
      <c r="F38" s="195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95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95"/>
      <c r="AE38" s="17"/>
      <c r="AF38" s="17"/>
      <c r="AG38" s="17"/>
      <c r="AH38" s="17"/>
      <c r="AI38" s="17"/>
      <c r="AJ38" s="17"/>
      <c r="AK38" s="17"/>
      <c r="AL38" s="17"/>
    </row>
    <row r="39" spans="1:38" s="24" customFormat="1">
      <c r="A39" s="35"/>
    </row>
    <row r="40" spans="1:38" s="28" customFormat="1">
      <c r="A40" s="205"/>
    </row>
    <row r="41" spans="1:38" s="24" customFormat="1">
      <c r="A41" s="35"/>
      <c r="E41" s="28"/>
    </row>
  </sheetData>
  <phoneticPr fontId="10" type="noConversion"/>
  <pageMargins left="0.75" right="0.75" top="1" bottom="1" header="0.5" footer="0.5"/>
  <pageSetup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18"/>
  <dimension ref="A1:AN42"/>
  <sheetViews>
    <sheetView zoomScale="50" workbookViewId="0">
      <pane xSplit="2" ySplit="3" topLeftCell="J4" activePane="bottomRight" state="frozen"/>
      <selection activeCell="I74" sqref="I74"/>
      <selection pane="topRight" activeCell="I74" sqref="I74"/>
      <selection pane="bottomLeft" activeCell="I74" sqref="I74"/>
      <selection pane="bottomRight" activeCell="N20" sqref="N20"/>
    </sheetView>
  </sheetViews>
  <sheetFormatPr defaultRowHeight="20.25"/>
  <cols>
    <col min="1" max="1" width="32.44140625" style="1" bestFit="1" customWidth="1"/>
    <col min="2" max="2" width="17.88671875" style="1" bestFit="1" customWidth="1"/>
    <col min="3" max="5" width="18.109375" style="1" bestFit="1" customWidth="1"/>
    <col min="6" max="8" width="19.44140625" style="1" bestFit="1" customWidth="1"/>
    <col min="9" max="9" width="18.109375" style="1" bestFit="1" customWidth="1"/>
    <col min="10" max="10" width="16.109375" style="1" bestFit="1" customWidth="1"/>
    <col min="11" max="11" width="15.44140625" style="1" bestFit="1" customWidth="1"/>
    <col min="12" max="19" width="15.21875" style="1" bestFit="1" customWidth="1"/>
    <col min="20" max="20" width="15.44140625" style="1" bestFit="1" customWidth="1"/>
    <col min="21" max="21" width="16.77734375" style="1" bestFit="1" customWidth="1"/>
    <col min="22" max="23" width="15.44140625" style="1" bestFit="1" customWidth="1"/>
    <col min="24" max="31" width="15.21875" style="1" bestFit="1" customWidth="1"/>
    <col min="32" max="32" width="15.44140625" style="1" bestFit="1" customWidth="1"/>
    <col min="33" max="33" width="16.77734375" style="1" bestFit="1" customWidth="1"/>
    <col min="34" max="35" width="15.44140625" style="1" bestFit="1" customWidth="1"/>
    <col min="36" max="38" width="15.21875" style="1" bestFit="1" customWidth="1"/>
    <col min="39" max="39" width="14.109375" style="1" bestFit="1" customWidth="1"/>
    <col min="40" max="40" width="12.109375" style="1" bestFit="1" customWidth="1"/>
    <col min="41" max="16384" width="8.88671875" style="1"/>
  </cols>
  <sheetData>
    <row r="1" spans="1:40">
      <c r="C1" s="13" t="s">
        <v>55</v>
      </c>
      <c r="D1" s="22">
        <f>SUM(FSS!D1,'GSS-TOT'!D1)</f>
        <v>4520925</v>
      </c>
      <c r="O1" s="13" t="s">
        <v>55</v>
      </c>
      <c r="P1" s="22">
        <f>SUM(FSS!P1,'GSS-TOT'!P1)</f>
        <v>4520925</v>
      </c>
      <c r="AA1" s="13" t="s">
        <v>55</v>
      </c>
      <c r="AB1" s="22">
        <f>SUM(FSS!AB1,'GSS-TOT'!AB1)</f>
        <v>4520925</v>
      </c>
      <c r="AM1" s="13" t="s">
        <v>55</v>
      </c>
      <c r="AN1" s="22">
        <f>SUM(FSS!AN1,'GSS-TOT'!AN1)</f>
        <v>4520925</v>
      </c>
    </row>
    <row r="3" spans="1:40">
      <c r="A3" s="4"/>
      <c r="B3" s="46">
        <v>40695</v>
      </c>
      <c r="C3" s="46">
        <v>40725</v>
      </c>
      <c r="D3" s="46">
        <v>40756</v>
      </c>
      <c r="E3" s="46">
        <v>40787</v>
      </c>
      <c r="F3" s="46">
        <v>40817</v>
      </c>
      <c r="G3" s="46">
        <v>40848</v>
      </c>
      <c r="H3" s="46">
        <v>40878</v>
      </c>
      <c r="I3" s="46">
        <v>40909</v>
      </c>
      <c r="J3" s="46">
        <v>40940</v>
      </c>
      <c r="K3" s="46">
        <v>40969</v>
      </c>
      <c r="L3" s="46">
        <v>41000</v>
      </c>
      <c r="M3" s="46">
        <v>41030</v>
      </c>
      <c r="N3" s="46">
        <v>41061</v>
      </c>
      <c r="O3" s="46">
        <v>41091</v>
      </c>
      <c r="P3" s="46">
        <v>41122</v>
      </c>
      <c r="Q3" s="46">
        <v>41153</v>
      </c>
      <c r="R3" s="46">
        <v>41183</v>
      </c>
      <c r="S3" s="46">
        <v>41214</v>
      </c>
      <c r="T3" s="46">
        <v>41244</v>
      </c>
      <c r="U3" s="46">
        <v>41275</v>
      </c>
      <c r="V3" s="46">
        <v>41306</v>
      </c>
      <c r="W3" s="46">
        <v>41334</v>
      </c>
      <c r="X3" s="46">
        <v>41365</v>
      </c>
      <c r="Y3" s="46">
        <v>41395</v>
      </c>
      <c r="Z3" s="46">
        <v>41426</v>
      </c>
      <c r="AA3" s="46">
        <v>41456</v>
      </c>
      <c r="AB3" s="46">
        <v>41487</v>
      </c>
      <c r="AC3" s="46">
        <v>41518</v>
      </c>
      <c r="AD3" s="46">
        <v>41548</v>
      </c>
      <c r="AE3" s="46">
        <v>41579</v>
      </c>
      <c r="AF3" s="46">
        <v>41609</v>
      </c>
      <c r="AG3" s="46">
        <v>41640</v>
      </c>
      <c r="AH3" s="46">
        <v>41671</v>
      </c>
      <c r="AI3" s="46">
        <v>41699</v>
      </c>
      <c r="AJ3" s="46">
        <v>41730</v>
      </c>
      <c r="AK3" s="46">
        <v>41760</v>
      </c>
      <c r="AL3" s="46">
        <v>41791</v>
      </c>
      <c r="AM3" s="46">
        <v>41821</v>
      </c>
      <c r="AN3" s="10"/>
    </row>
    <row r="4" spans="1:40">
      <c r="A4" s="4" t="s">
        <v>343</v>
      </c>
      <c r="B4" s="46"/>
      <c r="C4" s="28">
        <f>SUM(FSS!C6,'GSS-TOT'!C5)</f>
        <v>475916.92</v>
      </c>
      <c r="D4" s="28">
        <f>SUM(FSS!D6,'GSS-TOT'!D5)</f>
        <v>503499.58</v>
      </c>
      <c r="E4" s="28">
        <f>SUM(FSS!E6,'GSS-TOT'!E5)</f>
        <v>360911.28</v>
      </c>
      <c r="F4" s="28">
        <f>SUM(FSS!F6,'GSS-TOT'!F5)</f>
        <v>255255.64</v>
      </c>
      <c r="G4" s="28">
        <f>SUM(FSS!G6,'GSS-TOT'!G5)</f>
        <v>0</v>
      </c>
      <c r="H4" s="28">
        <f>SUM(FSS!H6,'GSS-TOT'!H5)</f>
        <v>0</v>
      </c>
      <c r="I4" s="28">
        <f>SUM(FSS!I6,'GSS-TOT'!I5)</f>
        <v>0</v>
      </c>
      <c r="J4" s="28">
        <f>SUM(FSS!J6,'GSS-TOT'!J5)</f>
        <v>0</v>
      </c>
      <c r="K4" s="28">
        <f>SUM(FSS!K6,'GSS-TOT'!K5)</f>
        <v>0</v>
      </c>
      <c r="L4" s="28">
        <f>SUM(FSS!L6,'GSS-TOT'!L5)</f>
        <v>398243.94</v>
      </c>
      <c r="M4" s="28">
        <f>SUM(FSS!M6,'GSS-TOT'!M5)</f>
        <v>513574.58</v>
      </c>
      <c r="N4" s="28">
        <f>SUM(FSS!N6,'GSS-TOT'!N5)</f>
        <v>508574.58</v>
      </c>
      <c r="O4" s="28">
        <f>SUM(FSS!O6,'GSS-TOT'!O5)</f>
        <v>485991.92</v>
      </c>
      <c r="P4" s="28">
        <f>SUM(FSS!P6,'GSS-TOT'!P5)</f>
        <v>513574.58</v>
      </c>
      <c r="Q4" s="28">
        <f>SUM(FSS!Q6,'GSS-TOT'!Q5)</f>
        <v>370661.28</v>
      </c>
      <c r="R4" s="28">
        <f>SUM(FSS!R6,'GSS-TOT'!R5)</f>
        <v>265330.64</v>
      </c>
      <c r="S4" s="28">
        <f>SUM(FSS!S6,'GSS-TOT'!S5)</f>
        <v>0</v>
      </c>
      <c r="T4" s="28">
        <f>SUM(FSS!T6,'GSS-TOT'!T5)</f>
        <v>0</v>
      </c>
      <c r="U4" s="28">
        <f>SUM(FSS!U6,'GSS-TOT'!U5)</f>
        <v>0</v>
      </c>
      <c r="V4" s="28">
        <f>SUM(FSS!V6,'GSS-TOT'!V5)</f>
        <v>0</v>
      </c>
      <c r="W4" s="28">
        <f>SUM(FSS!W6,'GSS-TOT'!W5)</f>
        <v>0</v>
      </c>
      <c r="X4" s="28">
        <f>SUM(FSS!X6,'GSS-TOT'!X5)</f>
        <v>402743.94</v>
      </c>
      <c r="Y4" s="28">
        <f>SUM(FSS!Y6,'GSS-TOT'!Y5)</f>
        <v>518224.58</v>
      </c>
      <c r="Z4" s="28">
        <f>SUM(FSS!Z6,'GSS-TOT'!Z5)</f>
        <v>513074.58</v>
      </c>
      <c r="AA4" s="28">
        <f>SUM(FSS!AA6,'GSS-TOT'!AA5)</f>
        <v>490641.91999999998</v>
      </c>
      <c r="AB4" s="28">
        <f>SUM(FSS!AB6,'GSS-TOT'!AB5)</f>
        <v>518224.58</v>
      </c>
      <c r="AC4" s="28">
        <f>SUM(FSS!AC6,'GSS-TOT'!AC5)</f>
        <v>375161.28</v>
      </c>
      <c r="AD4" s="28">
        <f>SUM(FSS!AD6,'GSS-TOT'!AD5)</f>
        <v>269980.64</v>
      </c>
      <c r="AE4" s="28">
        <f>SUM(FSS!AE6,'GSS-TOT'!AE5)</f>
        <v>0</v>
      </c>
      <c r="AF4" s="28">
        <f>SUM(FSS!AF6,'GSS-TOT'!AF5)</f>
        <v>0</v>
      </c>
      <c r="AG4" s="28">
        <f>SUM(FSS!AG6,'GSS-TOT'!AG5)</f>
        <v>0</v>
      </c>
      <c r="AH4" s="28">
        <f>SUM(FSS!AH6,'GSS-TOT'!AH5)</f>
        <v>0</v>
      </c>
      <c r="AI4" s="28">
        <f>SUM(FSS!AI6,'GSS-TOT'!AI5)</f>
        <v>0</v>
      </c>
      <c r="AJ4" s="28">
        <f>SUM(FSS!AJ6,'GSS-TOT'!AJ5)</f>
        <v>402743.94</v>
      </c>
      <c r="AK4" s="28">
        <f>SUM(FSS!AK6,'GSS-TOT'!AK5)</f>
        <v>518224.58</v>
      </c>
      <c r="AL4" s="28">
        <f>SUM(FSS!AL6,'GSS-TOT'!AL5)</f>
        <v>513074.58</v>
      </c>
      <c r="AM4" s="28">
        <f>SUM(FSS!AM6,'GSS-TOT'!AM5)</f>
        <v>159650</v>
      </c>
      <c r="AN4" s="10"/>
    </row>
    <row r="5" spans="1:40">
      <c r="A5" s="205" t="s">
        <v>193</v>
      </c>
      <c r="B5" s="28"/>
      <c r="C5" s="28">
        <f>SUM(FSS!C8,'GSS-TOT'!C6)</f>
        <v>562365</v>
      </c>
      <c r="D5" s="28">
        <f>SUM(FSS!D8,'GSS-TOT'!D6)</f>
        <v>466617</v>
      </c>
      <c r="E5" s="28">
        <f>SUM(FSS!E8,'GSS-TOT'!E6)</f>
        <v>366128</v>
      </c>
      <c r="F5" s="28">
        <f>SUM(FSS!F8,'GSS-TOT'!F6)</f>
        <v>234773</v>
      </c>
      <c r="G5" s="28">
        <f>SUM(FSS!G8,'GSS-TOT'!G6)</f>
        <v>136309</v>
      </c>
      <c r="H5" s="28">
        <f>SUM(FSS!H8,'GSS-TOT'!H6)</f>
        <v>51364</v>
      </c>
      <c r="I5" s="28">
        <f>SUM(FSS!I8,'GSS-TOT'!I6)</f>
        <v>31790</v>
      </c>
      <c r="J5" s="28">
        <f>SUM(FSS!J8,'GSS-TOT'!J6)</f>
        <v>25390</v>
      </c>
      <c r="K5" s="28">
        <f>SUM(FSS!K8,'GSS-TOT'!K6)</f>
        <v>48158</v>
      </c>
      <c r="L5" s="28">
        <f>SUM(FSS!L8,'GSS-TOT'!L6)</f>
        <v>253856</v>
      </c>
      <c r="M5" s="28">
        <f>SUM(FSS!M8,'GSS-TOT'!M6)</f>
        <v>474570</v>
      </c>
      <c r="N5" s="28">
        <f>SUM(FSS!N8,'GSS-TOT'!N6)</f>
        <v>476785</v>
      </c>
      <c r="O5" s="28">
        <f>SUM(FSS!O8,'GSS-TOT'!O6)</f>
        <v>485991.92</v>
      </c>
      <c r="P5" s="28">
        <f>SUM(FSS!P8,'GSS-TOT'!P6)</f>
        <v>513574.58</v>
      </c>
      <c r="Q5" s="28">
        <f>SUM(FSS!Q8,'GSS-TOT'!Q6)</f>
        <v>370661.28</v>
      </c>
      <c r="R5" s="28">
        <f>SUM(FSS!R8,'GSS-TOT'!R6)</f>
        <v>265330.64</v>
      </c>
      <c r="S5" s="28">
        <f>SUM(FSS!S8,'GSS-TOT'!S6)</f>
        <v>0</v>
      </c>
      <c r="T5" s="28">
        <f>SUM(FSS!T8,'GSS-TOT'!T6)</f>
        <v>0</v>
      </c>
      <c r="U5" s="28">
        <f>SUM(FSS!U8,'GSS-TOT'!U6)</f>
        <v>0</v>
      </c>
      <c r="V5" s="28">
        <f>SUM(FSS!V8,'GSS-TOT'!V6)</f>
        <v>0</v>
      </c>
      <c r="W5" s="28">
        <f>SUM(FSS!W8,'GSS-TOT'!W6)</f>
        <v>0</v>
      </c>
      <c r="X5" s="28">
        <f>SUM(FSS!X8,'GSS-TOT'!X6)</f>
        <v>402743.94</v>
      </c>
      <c r="Y5" s="28">
        <f>SUM(FSS!Y8,'GSS-TOT'!Y6)</f>
        <v>518224.58</v>
      </c>
      <c r="Z5" s="28">
        <f>SUM(FSS!Z8,'GSS-TOT'!Z6)</f>
        <v>513074.58</v>
      </c>
      <c r="AA5" s="28">
        <f>SUM(FSS!AA8,'GSS-TOT'!AA6)</f>
        <v>490641.91999999998</v>
      </c>
      <c r="AB5" s="28">
        <f>SUM(FSS!AB8,'GSS-TOT'!AB6)</f>
        <v>518224.58</v>
      </c>
      <c r="AC5" s="28">
        <f>SUM(FSS!AC8,'GSS-TOT'!AC6)</f>
        <v>375161.28</v>
      </c>
      <c r="AD5" s="28">
        <f>SUM(FSS!AD8,'GSS-TOT'!AD6)</f>
        <v>269980.64</v>
      </c>
      <c r="AE5" s="28">
        <f>SUM(FSS!AE8,'GSS-TOT'!AE6)</f>
        <v>0</v>
      </c>
      <c r="AF5" s="28">
        <f>SUM(FSS!AF8,'GSS-TOT'!AF6)</f>
        <v>0</v>
      </c>
      <c r="AG5" s="28">
        <f>SUM(FSS!AG8,'GSS-TOT'!AG6)</f>
        <v>0</v>
      </c>
      <c r="AH5" s="28">
        <f>SUM(FSS!AH8,'GSS-TOT'!AH6)</f>
        <v>0</v>
      </c>
      <c r="AI5" s="28">
        <f>SUM(FSS!AI8,'GSS-TOT'!AI6)</f>
        <v>0</v>
      </c>
      <c r="AJ5" s="28">
        <f>SUM(FSS!AJ8,'GSS-TOT'!AJ6)</f>
        <v>402743.94</v>
      </c>
      <c r="AK5" s="28">
        <f>SUM(FSS!AK8,'GSS-TOT'!AK6)</f>
        <v>518224.58</v>
      </c>
      <c r="AL5" s="28">
        <f>SUM(FSS!AL8,'GSS-TOT'!AL6)</f>
        <v>513074.58</v>
      </c>
      <c r="AM5" s="28">
        <f>SUM(FSS!AM8,'GSS-TOT'!AM6)</f>
        <v>159650</v>
      </c>
      <c r="AN5" s="28"/>
    </row>
    <row r="6" spans="1:40">
      <c r="A6" s="7" t="s">
        <v>57</v>
      </c>
      <c r="B6" s="16"/>
      <c r="C6" s="16">
        <f t="shared" ref="C6:H6" si="0">C7/C5</f>
        <v>4.3184920782277603</v>
      </c>
      <c r="D6" s="16">
        <f t="shared" si="0"/>
        <v>4.3259463903022786</v>
      </c>
      <c r="E6" s="16">
        <f t="shared" si="0"/>
        <v>3.8550186888870543</v>
      </c>
      <c r="F6" s="16">
        <f t="shared" si="0"/>
        <v>3.8087832434571682</v>
      </c>
      <c r="G6" s="16">
        <f t="shared" si="0"/>
        <v>3.4668692498252853</v>
      </c>
      <c r="H6" s="16">
        <f t="shared" si="0"/>
        <v>3.4279797954465425</v>
      </c>
      <c r="I6" s="16">
        <f>I7/I5</f>
        <v>2.5343802353406613</v>
      </c>
      <c r="J6" s="16">
        <f>J7/J5</f>
        <v>2.9747450549768217</v>
      </c>
      <c r="K6" s="16">
        <f>K7/K5</f>
        <v>2.368689351468908</v>
      </c>
      <c r="L6" s="16">
        <f t="shared" ref="L6:R6" si="1">L7/L5</f>
        <v>2.4140089244496883</v>
      </c>
      <c r="M6" s="16">
        <f t="shared" si="1"/>
        <v>2.1393624974644427</v>
      </c>
      <c r="N6" s="16">
        <f t="shared" si="1"/>
        <v>2.447606551106845</v>
      </c>
      <c r="O6" s="16">
        <f t="shared" si="1"/>
        <v>2.91342842494611</v>
      </c>
      <c r="P6" s="16">
        <f t="shared" si="1"/>
        <v>3.1722275627734891</v>
      </c>
      <c r="Q6" s="16">
        <f t="shared" si="1"/>
        <v>3.1536620087990714</v>
      </c>
      <c r="R6" s="16">
        <f t="shared" si="1"/>
        <v>3.1453867341857569</v>
      </c>
      <c r="S6" s="16"/>
      <c r="T6" s="16"/>
      <c r="U6" s="16"/>
      <c r="V6" s="16"/>
      <c r="W6" s="16"/>
      <c r="X6" s="16">
        <f t="shared" ref="X6:AD6" si="2">X7/X5</f>
        <v>3.552748722929616</v>
      </c>
      <c r="Y6" s="16">
        <f t="shared" si="2"/>
        <v>3.4365989202112059</v>
      </c>
      <c r="Z6" s="16">
        <f t="shared" si="2"/>
        <v>3.4610973750555258</v>
      </c>
      <c r="AA6" s="16">
        <f t="shared" si="2"/>
        <v>3.5804092212096355</v>
      </c>
      <c r="AB6" s="16">
        <f t="shared" si="2"/>
        <v>3.6046648475454406</v>
      </c>
      <c r="AC6" s="16">
        <f t="shared" si="2"/>
        <v>3.6021428409669567</v>
      </c>
      <c r="AD6" s="16">
        <f t="shared" si="2"/>
        <v>3.6231279444333491</v>
      </c>
      <c r="AE6" s="16"/>
      <c r="AF6" s="16"/>
      <c r="AG6" s="16"/>
      <c r="AH6" s="16"/>
      <c r="AI6" s="16"/>
      <c r="AJ6" s="16">
        <f>AJ7/AJ5</f>
        <v>3.8137200643167963</v>
      </c>
      <c r="AK6" s="16">
        <f>AK7/AK5</f>
        <v>3.8386525378244318</v>
      </c>
      <c r="AL6" s="16">
        <f>AL7/AL5</f>
        <v>3.864381789641576</v>
      </c>
      <c r="AM6" s="16">
        <f>AM7/AM5</f>
        <v>0</v>
      </c>
      <c r="AN6" s="16"/>
    </row>
    <row r="7" spans="1:40">
      <c r="A7" s="4" t="s">
        <v>58</v>
      </c>
      <c r="B7" s="25"/>
      <c r="C7" s="39">
        <f>SUM(FSS!C10,'GSS-TOT'!C8)</f>
        <v>2428568.7975725546</v>
      </c>
      <c r="D7" s="39">
        <f>SUM(FSS!D10,'GSS-TOT'!D8)</f>
        <v>2018560.1268036785</v>
      </c>
      <c r="E7" s="39">
        <f>SUM(FSS!E10,'GSS-TOT'!E8)</f>
        <v>1411430.2825248395</v>
      </c>
      <c r="F7" s="39">
        <f>SUM(FSS!F10,'GSS-TOT'!F8)</f>
        <v>894199.46841616975</v>
      </c>
      <c r="G7" s="39">
        <f>SUM(FSS!G10,'GSS-TOT'!G8)</f>
        <v>472565.4805744348</v>
      </c>
      <c r="H7" s="39">
        <f>SUM(FSS!H10,'GSS-TOT'!H8)</f>
        <v>176074.75421331622</v>
      </c>
      <c r="I7" s="39">
        <f>SUM(FSS!I10,'GSS-TOT'!I8)</f>
        <v>80567.947681479622</v>
      </c>
      <c r="J7" s="39">
        <f>SUM(FSS!J10,'GSS-TOT'!J8)</f>
        <v>75528.776945861508</v>
      </c>
      <c r="K7" s="39">
        <f>SUM(FSS!K10,'GSS-TOT'!K8)</f>
        <v>114071.34178803967</v>
      </c>
      <c r="L7" s="39">
        <f>SUM(FSS!L10,'GSS-TOT'!L8)</f>
        <v>612810.64952510002</v>
      </c>
      <c r="M7" s="39">
        <f>SUM(FSS!M10,'GSS-TOT'!M8)</f>
        <v>1015277.2604217005</v>
      </c>
      <c r="N7" s="39">
        <f>SUM(FSS!N10,'GSS-TOT'!N8)</f>
        <v>1166982.0894694771</v>
      </c>
      <c r="O7" s="39">
        <f>SUM(FSS!O10,'GSS-TOT'!O8)</f>
        <v>1415902.6740221358</v>
      </c>
      <c r="P7" s="39">
        <f>SUM(FSS!P10,'GSS-TOT'!P8)</f>
        <v>1629175.4382158183</v>
      </c>
      <c r="Q7" s="39">
        <f>SUM(FSS!Q10,'GSS-TOT'!Q8)</f>
        <v>1168940.3968688352</v>
      </c>
      <c r="R7" s="39">
        <f>SUM(FSS!R10,'GSS-TOT'!R8)</f>
        <v>834567.47522901674</v>
      </c>
      <c r="S7" s="39">
        <f>SUM(FSS!S10,'GSS-TOT'!S8)</f>
        <v>0</v>
      </c>
      <c r="T7" s="39">
        <f>SUM(FSS!T10,'GSS-TOT'!T8)</f>
        <v>0</v>
      </c>
      <c r="U7" s="39">
        <f>SUM(FSS!U10,'GSS-TOT'!U8)</f>
        <v>0</v>
      </c>
      <c r="V7" s="39">
        <f>SUM(FSS!V10,'GSS-TOT'!V8)</f>
        <v>0</v>
      </c>
      <c r="W7" s="39">
        <f>SUM(FSS!W10,'GSS-TOT'!W8)</f>
        <v>0</v>
      </c>
      <c r="X7" s="39">
        <f>SUM(FSS!X10,'GSS-TOT'!X8)</f>
        <v>1430848.0185026419</v>
      </c>
      <c r="Y7" s="39">
        <f>SUM(FSS!Y10,'GSS-TOT'!Y8)</f>
        <v>1780930.0320549058</v>
      </c>
      <c r="Z7" s="39">
        <f>SUM(FSS!Z10,'GSS-TOT'!Z8)</f>
        <v>1775801.0820457165</v>
      </c>
      <c r="AA7" s="39">
        <f>SUM(FSS!AA10,'GSS-TOT'!AA8)</f>
        <v>1756698.8546800001</v>
      </c>
      <c r="AB7" s="39">
        <f>SUM(FSS!AB10,'GSS-TOT'!AB8)</f>
        <v>1868025.9266600001</v>
      </c>
      <c r="AC7" s="39">
        <f>SUM(FSS!AC10,'GSS-TOT'!AC8)</f>
        <v>1351384.51896</v>
      </c>
      <c r="AD7" s="39">
        <f>SUM(FSS!AD10,'GSS-TOT'!AD8)</f>
        <v>978174.40124000004</v>
      </c>
      <c r="AE7" s="39">
        <f>SUM(FSS!AE10,'GSS-TOT'!AE8)</f>
        <v>0</v>
      </c>
      <c r="AF7" s="39">
        <f>SUM(FSS!AF10,'GSS-TOT'!AF8)</f>
        <v>0</v>
      </c>
      <c r="AG7" s="39">
        <f>SUM(FSS!AG10,'GSS-TOT'!AG8)</f>
        <v>0</v>
      </c>
      <c r="AH7" s="39">
        <f>SUM(FSS!AH10,'GSS-TOT'!AH8)</f>
        <v>0</v>
      </c>
      <c r="AI7" s="39">
        <f>SUM(FSS!AI10,'GSS-TOT'!AI8)</f>
        <v>0</v>
      </c>
      <c r="AJ7" s="39">
        <f>SUM(FSS!AJ10,'GSS-TOT'!AJ8)</f>
        <v>1535952.6447600001</v>
      </c>
      <c r="AK7" s="39">
        <f>SUM(FSS!AK10,'GSS-TOT'!AK8)</f>
        <v>1989284.0991800004</v>
      </c>
      <c r="AL7" s="39">
        <f>SUM(FSS!AL10,'GSS-TOT'!AL8)</f>
        <v>1982716.0636799999</v>
      </c>
      <c r="AM7" s="39">
        <f>SUM(FSS!AM10,'GSS-TOT'!AM8)</f>
        <v>0</v>
      </c>
      <c r="AN7" s="10"/>
    </row>
    <row r="8" spans="1:40">
      <c r="A8" s="4" t="s">
        <v>194</v>
      </c>
      <c r="B8" s="10"/>
      <c r="C8" s="10"/>
      <c r="D8" s="10"/>
      <c r="E8" s="10"/>
      <c r="F8" s="10"/>
      <c r="G8" s="10"/>
      <c r="H8" s="124">
        <f>H9/$D$1</f>
        <v>-0.19830332951774249</v>
      </c>
      <c r="I8" s="124">
        <f>I9/$D$1</f>
        <v>-0.22777630020405118</v>
      </c>
      <c r="J8" s="124">
        <f>J9/$D$1</f>
        <v>-0.18600086929112958</v>
      </c>
      <c r="K8" s="124">
        <f>K9/$D$1</f>
        <v>-7.7603437349657439E-2</v>
      </c>
      <c r="L8" s="10"/>
      <c r="M8" s="10"/>
      <c r="N8" s="10"/>
      <c r="O8" s="10"/>
      <c r="P8" s="10"/>
      <c r="Q8" s="10"/>
      <c r="R8" s="10"/>
      <c r="S8" s="10"/>
      <c r="T8" s="124"/>
      <c r="U8" s="124"/>
      <c r="V8" s="124"/>
      <c r="W8" s="124"/>
      <c r="X8" s="10"/>
      <c r="Y8" s="10"/>
      <c r="Z8" s="10"/>
      <c r="AA8" s="10"/>
      <c r="AB8" s="10"/>
      <c r="AC8" s="10"/>
      <c r="AD8" s="10"/>
      <c r="AE8" s="10"/>
      <c r="AF8" s="124"/>
      <c r="AG8" s="124"/>
      <c r="AH8" s="124"/>
      <c r="AI8" s="124"/>
      <c r="AJ8" s="10"/>
      <c r="AK8" s="10"/>
      <c r="AL8" s="10"/>
      <c r="AM8" s="10"/>
      <c r="AN8" s="10"/>
    </row>
    <row r="9" spans="1:40">
      <c r="A9" s="4" t="s">
        <v>344</v>
      </c>
      <c r="B9" s="10"/>
      <c r="C9" s="10"/>
      <c r="D9" s="10"/>
      <c r="E9" s="10"/>
      <c r="F9" s="10"/>
      <c r="G9" s="10"/>
      <c r="H9" s="107">
        <f>SUM(FSS!H12,'GSS-TOT'!H10)</f>
        <v>-896514.48</v>
      </c>
      <c r="I9" s="107">
        <f>SUM(FSS!I12,'GSS-TOT'!I10)</f>
        <v>-1029759.5700000001</v>
      </c>
      <c r="J9" s="107">
        <f>SUM(FSS!J12,'GSS-TOT'!J10)</f>
        <v>-840895.98</v>
      </c>
      <c r="K9" s="107">
        <f>SUM(FSS!K12,'GSS-TOT'!K10)</f>
        <v>-350839.32000000007</v>
      </c>
      <c r="L9" s="10"/>
      <c r="M9" s="10"/>
      <c r="N9" s="10"/>
      <c r="O9" s="10"/>
      <c r="P9" s="10"/>
      <c r="Q9" s="10"/>
      <c r="R9" s="10"/>
      <c r="S9" s="10"/>
      <c r="T9" s="107">
        <f>SUM(FSS!T12,'GSS-TOT'!T10)</f>
        <v>-896514.48</v>
      </c>
      <c r="U9" s="107">
        <f>SUM(FSS!U12,'GSS-TOT'!U10)</f>
        <v>-1029759.5700000001</v>
      </c>
      <c r="V9" s="107">
        <f>SUM(FSS!V12,'GSS-TOT'!V10)</f>
        <v>-840895.98</v>
      </c>
      <c r="W9" s="107">
        <f>SUM(FSS!W12,'GSS-TOT'!W10)</f>
        <v>-350839.32000000007</v>
      </c>
      <c r="X9" s="10"/>
      <c r="Y9" s="10"/>
      <c r="Z9" s="10"/>
      <c r="AA9" s="10"/>
      <c r="AB9" s="10"/>
      <c r="AC9" s="10"/>
      <c r="AD9" s="10"/>
      <c r="AE9" s="10"/>
      <c r="AF9" s="107">
        <f>SUM(FSS!AF12,'GSS-TOT'!AF10)</f>
        <v>-896514.48</v>
      </c>
      <c r="AG9" s="107">
        <f>SUM(FSS!AG12,'GSS-TOT'!AG10)</f>
        <v>-1029759.5700000001</v>
      </c>
      <c r="AH9" s="107">
        <f>SUM(FSS!AH12,'GSS-TOT'!AH10)</f>
        <v>-840895.98</v>
      </c>
      <c r="AI9" s="107">
        <f>SUM(FSS!AI12,'GSS-TOT'!AI10)</f>
        <v>-350839.32000000007</v>
      </c>
      <c r="AJ9" s="10"/>
      <c r="AK9" s="10"/>
      <c r="AL9" s="10"/>
      <c r="AM9" s="10"/>
      <c r="AN9" s="10"/>
    </row>
    <row r="10" spans="1:40">
      <c r="A10" s="206" t="s">
        <v>195</v>
      </c>
      <c r="B10" s="107"/>
      <c r="C10" s="107">
        <f>SUM(FSS!C13,'GSS-TOT'!C11)</f>
        <v>0</v>
      </c>
      <c r="D10" s="107">
        <f>SUM(FSS!D13,'GSS-TOT'!D11)</f>
        <v>0</v>
      </c>
      <c r="E10" s="107">
        <f>SUM(FSS!E13,'GSS-TOT'!E11)</f>
        <v>0</v>
      </c>
      <c r="F10" s="107">
        <f>SUM(FSS!F13,'GSS-TOT'!F11)</f>
        <v>0</v>
      </c>
      <c r="G10" s="107">
        <f>SUM(FSS!G13,'GSS-TOT'!G11)</f>
        <v>-129612</v>
      </c>
      <c r="H10" s="107">
        <f>SUM(FSS!H13,'GSS-TOT'!H11)</f>
        <v>-745693</v>
      </c>
      <c r="I10" s="107">
        <f>SUM(FSS!I13,'GSS-TOT'!I11)</f>
        <v>-1038568</v>
      </c>
      <c r="J10" s="107">
        <f>SUM(FSS!J13,'GSS-TOT'!J11)</f>
        <v>-725553</v>
      </c>
      <c r="K10" s="107">
        <f>SUM(FSS!K13,'GSS-TOT'!K11)</f>
        <v>-308109</v>
      </c>
      <c r="L10" s="107"/>
      <c r="M10" s="107"/>
      <c r="N10" s="107"/>
      <c r="O10" s="107"/>
      <c r="P10" s="107"/>
      <c r="Q10" s="107"/>
      <c r="R10" s="107"/>
      <c r="S10" s="107"/>
      <c r="T10" s="107">
        <f>SUM(FSS!T13,'GSS-TOT'!T11)</f>
        <v>-896514.48</v>
      </c>
      <c r="U10" s="107">
        <f>SUM(FSS!U13,'GSS-TOT'!U11)</f>
        <v>-1029759.5700000001</v>
      </c>
      <c r="V10" s="107">
        <f>SUM(FSS!V13,'GSS-TOT'!V11)</f>
        <v>-840895.98</v>
      </c>
      <c r="W10" s="107">
        <f>SUM(FSS!W13,'GSS-TOT'!W11)</f>
        <v>-350839.32000000007</v>
      </c>
      <c r="X10" s="107"/>
      <c r="Y10" s="107"/>
      <c r="Z10" s="107"/>
      <c r="AA10" s="107"/>
      <c r="AB10" s="107"/>
      <c r="AC10" s="107"/>
      <c r="AD10" s="107"/>
      <c r="AE10" s="107"/>
      <c r="AF10" s="107">
        <f>SUM(FSS!AF13,'GSS-TOT'!AF11)</f>
        <v>-896514.48</v>
      </c>
      <c r="AG10" s="107">
        <f>SUM(FSS!AG13,'GSS-TOT'!AG11)</f>
        <v>-1029759.5700000001</v>
      </c>
      <c r="AH10" s="107">
        <f>SUM(FSS!AH13,'GSS-TOT'!AH11)</f>
        <v>-840895.98</v>
      </c>
      <c r="AI10" s="107">
        <f>SUM(FSS!AI13,'GSS-TOT'!AI11)</f>
        <v>-350839.32000000007</v>
      </c>
      <c r="AJ10" s="107"/>
      <c r="AK10" s="107"/>
      <c r="AL10" s="107"/>
      <c r="AM10" s="107"/>
      <c r="AN10" s="107"/>
    </row>
    <row r="11" spans="1:40">
      <c r="A11" s="4" t="s">
        <v>59</v>
      </c>
      <c r="B11" s="10"/>
      <c r="C11" s="10"/>
      <c r="D11" s="10"/>
      <c r="E11" s="10"/>
      <c r="F11" s="20" t="e">
        <f>F12/F10</f>
        <v>#DIV/0!</v>
      </c>
      <c r="G11" s="20">
        <f>G12/G10</f>
        <v>4.3738282682082668</v>
      </c>
      <c r="H11" s="20">
        <f>+G19</f>
        <v>4.3911638474130781</v>
      </c>
      <c r="I11" s="20">
        <f>+H19</f>
        <v>4.3730975226229827</v>
      </c>
      <c r="J11" s="20">
        <f>+I19</f>
        <v>4.3570122382816603</v>
      </c>
      <c r="K11" s="20">
        <f>+J19</f>
        <v>4.3205388873675146</v>
      </c>
      <c r="L11" s="10"/>
      <c r="M11" s="10"/>
      <c r="N11" s="10"/>
      <c r="O11" s="10"/>
      <c r="P11" s="10"/>
      <c r="Q11" s="10"/>
      <c r="R11" s="10"/>
      <c r="S11" s="20">
        <f>+R19</f>
        <v>3.2618875312575533</v>
      </c>
      <c r="T11" s="20">
        <f>+S19</f>
        <v>3.2618875312575533</v>
      </c>
      <c r="U11" s="20">
        <f>+T19</f>
        <v>3.2553052381943912</v>
      </c>
      <c r="V11" s="20">
        <f>+U19</f>
        <v>3.240047879849238</v>
      </c>
      <c r="W11" s="20">
        <f>+V19</f>
        <v>3.2123100433585918</v>
      </c>
      <c r="X11" s="10"/>
      <c r="Y11" s="10"/>
      <c r="Z11" s="10"/>
      <c r="AA11" s="10"/>
      <c r="AB11" s="10"/>
      <c r="AC11" s="10"/>
      <c r="AD11" s="10"/>
      <c r="AE11" s="20">
        <f>+AD19</f>
        <v>3.4481917069787755</v>
      </c>
      <c r="AF11" s="20">
        <f>+AE19</f>
        <v>3.4481917069787755</v>
      </c>
      <c r="AG11" s="20">
        <f>+AF19</f>
        <v>3.4409737738218853</v>
      </c>
      <c r="AH11" s="20">
        <f>+AG19</f>
        <v>3.4259538317629556</v>
      </c>
      <c r="AI11" s="20">
        <f>+AH19</f>
        <v>3.39813557337532</v>
      </c>
      <c r="AJ11" s="10"/>
      <c r="AK11" s="10"/>
      <c r="AL11" s="10"/>
      <c r="AM11" s="10"/>
      <c r="AN11" s="10"/>
    </row>
    <row r="12" spans="1:40">
      <c r="A12" s="4" t="s">
        <v>60</v>
      </c>
      <c r="B12" s="10"/>
      <c r="C12" s="30">
        <f>SUM(FSS!C15,'GSS-TOT'!C13)</f>
        <v>0</v>
      </c>
      <c r="D12" s="30">
        <f>SUM(FSS!D15,'GSS-TOT'!D13)</f>
        <v>0</v>
      </c>
      <c r="E12" s="30">
        <f>SUM(FSS!E15,'GSS-TOT'!E13)</f>
        <v>0</v>
      </c>
      <c r="F12" s="30">
        <f>SUM(FSS!F15,'GSS-TOT'!F13)</f>
        <v>0</v>
      </c>
      <c r="G12" s="30">
        <f>SUM(FSS!G15,'GSS-TOT'!G13)</f>
        <v>-566900.62949900993</v>
      </c>
      <c r="H12" s="30">
        <f>SUM(FSS!H15,'GSS-TOT'!H13)</f>
        <v>-3290608.5293099675</v>
      </c>
      <c r="I12" s="30">
        <f>SUM(FSS!I15,'GSS-TOT'!I13)</f>
        <v>-4525537.7567924131</v>
      </c>
      <c r="J12" s="30">
        <f>SUM(FSS!J15,'GSS-TOT'!J13)</f>
        <v>-3196369.9345663232</v>
      </c>
      <c r="K12" s="30">
        <f>SUM(FSS!K15,'GSS-TOT'!K13)</f>
        <v>-1319898.3187558306</v>
      </c>
      <c r="L12" s="30">
        <f>SUM(FSS!L15,'GSS-TOT'!L13)</f>
        <v>-998665.98701222392</v>
      </c>
      <c r="M12" s="30">
        <f>SUM(FSS!M15,'GSS-TOT'!M13)</f>
        <v>0</v>
      </c>
      <c r="N12" s="30">
        <f>SUM(FSS!N15,'GSS-TOT'!N13)</f>
        <v>0</v>
      </c>
      <c r="O12" s="30">
        <f>SUM(FSS!O15,'GSS-TOT'!O13)</f>
        <v>0</v>
      </c>
      <c r="P12" s="30">
        <f>SUM(FSS!P15,'GSS-TOT'!P13)</f>
        <v>0</v>
      </c>
      <c r="Q12" s="30">
        <f>SUM(FSS!Q15,'GSS-TOT'!Q13)</f>
        <v>0</v>
      </c>
      <c r="R12" s="30">
        <f>SUM(FSS!R15,'GSS-TOT'!R13)</f>
        <v>0</v>
      </c>
      <c r="S12" s="30">
        <f>SUM(FSS!S15,'GSS-TOT'!S13)</f>
        <v>0</v>
      </c>
      <c r="T12" s="30">
        <f>SUM(FSS!T15,'GSS-TOT'!T13)</f>
        <v>-2946593.7333387486</v>
      </c>
      <c r="U12" s="30">
        <f>SUM(FSS!U15,'GSS-TOT'!U13)</f>
        <v>-3388077.6844109525</v>
      </c>
      <c r="V12" s="30">
        <f>SUM(FSS!V15,'GSS-TOT'!V13)</f>
        <v>-2766477.3646727353</v>
      </c>
      <c r="W12" s="30">
        <f>SUM(FSS!W15,'GSS-TOT'!W13)</f>
        <v>-1146823.9630439661</v>
      </c>
      <c r="X12" s="30">
        <f>SUM(FSS!X15,'GSS-TOT'!X13)</f>
        <v>0</v>
      </c>
      <c r="Y12" s="30">
        <f>SUM(FSS!Y15,'GSS-TOT'!Y13)</f>
        <v>0</v>
      </c>
      <c r="Z12" s="30">
        <f>SUM(FSS!Z15,'GSS-TOT'!Z13)</f>
        <v>0</v>
      </c>
      <c r="AA12" s="30">
        <f>SUM(FSS!AA15,'GSS-TOT'!AA13)</f>
        <v>0</v>
      </c>
      <c r="AB12" s="30">
        <f>SUM(FSS!AB15,'GSS-TOT'!AB13)</f>
        <v>0</v>
      </c>
      <c r="AC12" s="30">
        <f>SUM(FSS!AC15,'GSS-TOT'!AC13)</f>
        <v>0</v>
      </c>
      <c r="AD12" s="30">
        <f>SUM(FSS!AD15,'GSS-TOT'!AD13)</f>
        <v>0</v>
      </c>
      <c r="AE12" s="30">
        <f>SUM(FSS!AE15,'GSS-TOT'!AE13)</f>
        <v>0</v>
      </c>
      <c r="AF12" s="30">
        <f>SUM(FSS!AF15,'GSS-TOT'!AF13)</f>
        <v>-3115551.9168248372</v>
      </c>
      <c r="AG12" s="30">
        <f>SUM(FSS!AG15,'GSS-TOT'!AG13)</f>
        <v>-3578263.1020408291</v>
      </c>
      <c r="AH12" s="30">
        <f>SUM(FSS!AH15,'GSS-TOT'!AH13)</f>
        <v>-2922093.1396554573</v>
      </c>
      <c r="AI12" s="30">
        <f>SUM(FSS!AI15,'GSS-TOT'!AI13)</f>
        <v>-1219720.8108546105</v>
      </c>
      <c r="AJ12" s="30">
        <f>SUM(FSS!AJ15,'GSS-TOT'!AJ13)</f>
        <v>0</v>
      </c>
      <c r="AK12" s="30">
        <f>SUM(FSS!AK15,'GSS-TOT'!AK13)</f>
        <v>0</v>
      </c>
      <c r="AL12" s="30">
        <f>SUM(FSS!AL15,'GSS-TOT'!AL13)</f>
        <v>0</v>
      </c>
      <c r="AM12" s="30">
        <f>SUM(FSS!AM15,'GSS-TOT'!AM13)</f>
        <v>0</v>
      </c>
      <c r="AN12" s="10"/>
    </row>
    <row r="13" spans="1:40">
      <c r="A13" s="4" t="s">
        <v>452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</row>
    <row r="14" spans="1:40">
      <c r="A14" s="7" t="s">
        <v>453</v>
      </c>
      <c r="B14" s="16"/>
      <c r="C14" s="16"/>
      <c r="D14" s="16"/>
      <c r="E14" s="16"/>
      <c r="F14" s="16"/>
      <c r="G14" s="16"/>
      <c r="H14" s="16"/>
      <c r="J14" s="108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</row>
    <row r="15" spans="1:40">
      <c r="A15" s="4" t="s">
        <v>454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</row>
    <row r="16" spans="1:40">
      <c r="A16" s="4" t="s">
        <v>347</v>
      </c>
      <c r="B16" s="124">
        <f t="shared" ref="B16:N16" si="3">B17/$D$1</f>
        <v>0.59737566537821352</v>
      </c>
      <c r="C16" s="124">
        <f t="shared" si="3"/>
        <v>0.71940189231186091</v>
      </c>
      <c r="D16" s="124">
        <f t="shared" si="3"/>
        <v>0.8226146197957277</v>
      </c>
      <c r="E16" s="124">
        <f t="shared" si="3"/>
        <v>0.90359981640925258</v>
      </c>
      <c r="F16" s="134">
        <f t="shared" si="3"/>
        <v>0.95553011828331591</v>
      </c>
      <c r="G16" s="124">
        <f t="shared" si="3"/>
        <v>0.95701145230234963</v>
      </c>
      <c r="H16" s="124">
        <f t="shared" si="3"/>
        <v>0.80343027145993351</v>
      </c>
      <c r="I16" s="124">
        <f t="shared" si="3"/>
        <v>0.58073734910444208</v>
      </c>
      <c r="J16" s="124">
        <f t="shared" si="3"/>
        <v>0.42586572438162545</v>
      </c>
      <c r="K16" s="134">
        <f t="shared" si="3"/>
        <v>0.36836620824278216</v>
      </c>
      <c r="L16" s="124">
        <f t="shared" si="3"/>
        <v>0.37456626685910516</v>
      </c>
      <c r="M16" s="124">
        <f t="shared" si="3"/>
        <v>0.47953814761359675</v>
      </c>
      <c r="N16" s="124">
        <f t="shared" si="3"/>
        <v>0.58470644834851271</v>
      </c>
      <c r="O16" s="124">
        <f>O17/$P$1</f>
        <v>0.69220478552508613</v>
      </c>
      <c r="P16" s="124">
        <f>P17/$P$1</f>
        <v>0.80580423254090705</v>
      </c>
      <c r="Q16" s="124">
        <f>Q17/$P$1</f>
        <v>0.88779216200224509</v>
      </c>
      <c r="R16" s="134">
        <f>R17/$P$1</f>
        <v>0.94648162046483852</v>
      </c>
      <c r="S16" s="124">
        <f>S17/$P$1</f>
        <v>0.94648162046483852</v>
      </c>
      <c r="T16" s="124">
        <f t="shared" ref="T16:Z16" si="4">T17/$P$1</f>
        <v>0.74817829094709598</v>
      </c>
      <c r="U16" s="124">
        <f t="shared" si="4"/>
        <v>0.52040199074304472</v>
      </c>
      <c r="V16" s="124">
        <f t="shared" si="4"/>
        <v>0.3344011214519152</v>
      </c>
      <c r="W16" s="134">
        <f t="shared" si="4"/>
        <v>0.25679768410225773</v>
      </c>
      <c r="X16" s="124">
        <f t="shared" si="4"/>
        <v>0.34588209492526406</v>
      </c>
      <c r="Y16" s="124">
        <f t="shared" si="4"/>
        <v>0.46051009251425307</v>
      </c>
      <c r="Z16" s="124">
        <f t="shared" si="4"/>
        <v>0.57399894269424945</v>
      </c>
      <c r="AA16" s="124">
        <f>AA17/$AB$1</f>
        <v>0.68252583044399096</v>
      </c>
      <c r="AB16" s="124">
        <f t="shared" ref="AB16:AL16" si="5">AB17/$AB$1</f>
        <v>0.79715382803297996</v>
      </c>
      <c r="AC16" s="124">
        <f t="shared" si="5"/>
        <v>0.88013712901673868</v>
      </c>
      <c r="AD16" s="134">
        <f t="shared" si="5"/>
        <v>0.93985513805250032</v>
      </c>
      <c r="AE16" s="124">
        <f t="shared" si="5"/>
        <v>0.93985513805250032</v>
      </c>
      <c r="AF16" s="124">
        <f t="shared" si="5"/>
        <v>0.74155180853475777</v>
      </c>
      <c r="AG16" s="124">
        <f t="shared" si="5"/>
        <v>0.51377550833070651</v>
      </c>
      <c r="AH16" s="124">
        <f t="shared" si="5"/>
        <v>0.32777463903957699</v>
      </c>
      <c r="AI16" s="134">
        <f t="shared" si="5"/>
        <v>0.25017120168991952</v>
      </c>
      <c r="AJ16" s="124">
        <f t="shared" si="5"/>
        <v>0.33925561251292591</v>
      </c>
      <c r="AK16" s="124">
        <f t="shared" si="5"/>
        <v>0.45388361010191486</v>
      </c>
      <c r="AL16" s="124">
        <f t="shared" si="5"/>
        <v>0.56737246028191135</v>
      </c>
      <c r="AM16" s="10"/>
      <c r="AN16" s="10"/>
    </row>
    <row r="17" spans="1:40">
      <c r="A17" s="4" t="s">
        <v>345</v>
      </c>
      <c r="B17" s="132">
        <v>2700690.58</v>
      </c>
      <c r="C17" s="394">
        <f>SUM(FSS!C21,'GSS-TOT'!C18)</f>
        <v>3252362</v>
      </c>
      <c r="D17" s="394">
        <f>SUM(FSS!D21,'GSS-TOT'!D18)</f>
        <v>3718979</v>
      </c>
      <c r="E17" s="394">
        <f>SUM(FSS!E21,'GSS-TOT'!E18)</f>
        <v>4085107</v>
      </c>
      <c r="F17" s="394">
        <f>SUM(FSS!F21,'GSS-TOT'!F18)</f>
        <v>4319880</v>
      </c>
      <c r="G17" s="394">
        <f>SUM(FSS!G21,'GSS-TOT'!G18)</f>
        <v>4326577</v>
      </c>
      <c r="H17" s="394">
        <f>SUM(FSS!H21,'GSS-TOT'!H18)</f>
        <v>3632248</v>
      </c>
      <c r="I17" s="394">
        <f>SUM(FSS!I21,'GSS-TOT'!I18)</f>
        <v>2625470</v>
      </c>
      <c r="J17" s="394">
        <f>SUM(FSS!J21,'GSS-TOT'!J18)</f>
        <v>1925307</v>
      </c>
      <c r="K17" s="394">
        <f>SUM(FSS!K21,'GSS-TOT'!K18)</f>
        <v>1665356</v>
      </c>
      <c r="L17" s="394">
        <f>SUM(FSS!L21,'GSS-TOT'!L18)</f>
        <v>1693386</v>
      </c>
      <c r="M17" s="394">
        <f>SUM(FSS!M21,'GSS-TOT'!M18)</f>
        <v>2167956</v>
      </c>
      <c r="N17" s="394">
        <f>SUM(FSS!N21,'GSS-TOT'!N18)</f>
        <v>2643414</v>
      </c>
      <c r="O17" s="28">
        <f>SUM(FSS!O21,'GSS-TOT'!O18)</f>
        <v>3129405.92</v>
      </c>
      <c r="P17" s="28">
        <f>SUM(FSS!P21,'GSS-TOT'!P18)</f>
        <v>3642980.5</v>
      </c>
      <c r="Q17" s="28">
        <f>SUM(FSS!Q21,'GSS-TOT'!Q18)</f>
        <v>4013641.78</v>
      </c>
      <c r="R17" s="28">
        <f>SUM(FSS!R21,'GSS-TOT'!R18)</f>
        <v>4278972.42</v>
      </c>
      <c r="S17" s="28">
        <f>SUM(FSS!S21,'GSS-TOT'!S18)</f>
        <v>4278972.42</v>
      </c>
      <c r="T17" s="28">
        <f>SUM(FSS!T21,'GSS-TOT'!T18)</f>
        <v>3382457.94</v>
      </c>
      <c r="U17" s="28">
        <f>SUM(FSS!U21,'GSS-TOT'!U18)</f>
        <v>2352698.3699999996</v>
      </c>
      <c r="V17" s="28">
        <f>SUM(FSS!V21,'GSS-TOT'!V18)</f>
        <v>1511802.3899999997</v>
      </c>
      <c r="W17" s="28">
        <f>SUM(FSS!W21,'GSS-TOT'!W18)</f>
        <v>1160963.0699999996</v>
      </c>
      <c r="X17" s="28">
        <f>SUM(FSS!X21,'GSS-TOT'!X18)</f>
        <v>1563707.0099999995</v>
      </c>
      <c r="Y17" s="28">
        <f>SUM(FSS!Y21,'GSS-TOT'!Y18)</f>
        <v>2081931.5899999996</v>
      </c>
      <c r="Z17" s="28">
        <f>SUM(FSS!Z21,'GSS-TOT'!Z18)</f>
        <v>2595006.17</v>
      </c>
      <c r="AA17" s="28">
        <f>SUM(FSS!AA21,'GSS-TOT'!AA18)</f>
        <v>3085648.09</v>
      </c>
      <c r="AB17" s="28">
        <f>SUM(FSS!AB21,'GSS-TOT'!AB18)</f>
        <v>3603872.67</v>
      </c>
      <c r="AC17" s="28">
        <f>SUM(FSS!AC21,'GSS-TOT'!AC18)</f>
        <v>3979033.9499999993</v>
      </c>
      <c r="AD17" s="28">
        <f>SUM(FSS!AD21,'GSS-TOT'!AD18)</f>
        <v>4249014.59</v>
      </c>
      <c r="AE17" s="28">
        <f>SUM(FSS!AE21,'GSS-TOT'!AE18)</f>
        <v>4249014.59</v>
      </c>
      <c r="AF17" s="28">
        <f>SUM(FSS!AF21,'GSS-TOT'!AF18)</f>
        <v>3352500.11</v>
      </c>
      <c r="AG17" s="28">
        <f>SUM(FSS!AG21,'GSS-TOT'!AG18)</f>
        <v>2322740.5399999996</v>
      </c>
      <c r="AH17" s="28">
        <f>SUM(FSS!AH21,'GSS-TOT'!AH18)</f>
        <v>1481844.5599999996</v>
      </c>
      <c r="AI17" s="28">
        <f>SUM(FSS!AI21,'GSS-TOT'!AI18)</f>
        <v>1131005.2399999995</v>
      </c>
      <c r="AJ17" s="28">
        <f>SUM(FSS!AJ21,'GSS-TOT'!AJ18)</f>
        <v>1533749.1799999995</v>
      </c>
      <c r="AK17" s="28">
        <f>SUM(FSS!AK21,'GSS-TOT'!AK18)</f>
        <v>2051973.7599999995</v>
      </c>
      <c r="AL17" s="28">
        <f>SUM(FSS!AL21,'GSS-TOT'!AL18)</f>
        <v>2565048.34</v>
      </c>
      <c r="AM17" s="10"/>
      <c r="AN17" s="10"/>
    </row>
    <row r="18" spans="1:40">
      <c r="A18" s="4" t="s">
        <v>346</v>
      </c>
      <c r="B18" s="186">
        <v>11981365.935966721</v>
      </c>
      <c r="C18" s="393">
        <f>SUM(FSS!C22,'GSS-TOT'!C19)</f>
        <v>14768853.776628822</v>
      </c>
      <c r="D18" s="393">
        <f>SUM(FSS!D22,'GSS-TOT'!D19)</f>
        <v>16787413.903432503</v>
      </c>
      <c r="E18" s="393">
        <f>SUM(FSS!E22,'GSS-TOT'!E19)</f>
        <v>18198844.185957342</v>
      </c>
      <c r="F18" s="393">
        <f>SUM(FSS!F22,'GSS-TOT'!F19)</f>
        <v>19093043.654373512</v>
      </c>
      <c r="G18" s="393">
        <f>SUM(FSS!G22,'GSS-TOT'!G19)</f>
        <v>18998708.505448934</v>
      </c>
      <c r="H18" s="393">
        <f>SUM(FSS!H22,'GSS-TOT'!H19)</f>
        <v>15884174.730352283</v>
      </c>
      <c r="I18" s="393">
        <f>SUM(FSS!I22,'GSS-TOT'!I19)</f>
        <v>11439204.92124135</v>
      </c>
      <c r="J18" s="393">
        <f>SUM(FSS!J22,'GSS-TOT'!J19)</f>
        <v>8318363.7636208879</v>
      </c>
      <c r="K18" s="393">
        <f>SUM(FSS!K22,'GSS-TOT'!K19)</f>
        <v>7112536.7866530977</v>
      </c>
      <c r="L18" s="393">
        <f>SUM(FSS!L22,'GSS-TOT'!L19)</f>
        <v>6726681.4491659738</v>
      </c>
      <c r="M18" s="393">
        <f>SUM(FSS!M22,'GSS-TOT'!M19)</f>
        <v>7741958.7095876746</v>
      </c>
      <c r="N18" s="393">
        <f>SUM(FSS!N22,'GSS-TOT'!N19)</f>
        <v>8908940.7990571521</v>
      </c>
      <c r="O18" s="39">
        <f>SUM(FSS!O22,'GSS-TOT'!O19)</f>
        <v>10324843.473079287</v>
      </c>
      <c r="P18" s="39">
        <f>SUM(FSS!P22,'GSS-TOT'!P19)</f>
        <v>11954018.911295105</v>
      </c>
      <c r="Q18" s="39">
        <f>SUM(FSS!Q22,'GSS-TOT'!Q19)</f>
        <v>13122959.308163941</v>
      </c>
      <c r="R18" s="39">
        <f>SUM(FSS!R22,'GSS-TOT'!R19)</f>
        <v>13957526.783392958</v>
      </c>
      <c r="S18" s="39">
        <f>SUM(FSS!S22,'GSS-TOT'!S19)</f>
        <v>13957526.783392958</v>
      </c>
      <c r="T18" s="39">
        <f>SUM(FSS!T22,'GSS-TOT'!T19)</f>
        <v>11010933.050054209</v>
      </c>
      <c r="U18" s="39">
        <f>SUM(FSS!U22,'GSS-TOT'!U19)</f>
        <v>7622855.3656432573</v>
      </c>
      <c r="V18" s="39">
        <f>SUM(FSS!V22,'GSS-TOT'!V19)</f>
        <v>4856378.0009705219</v>
      </c>
      <c r="W18" s="39">
        <f>SUM(FSS!W22,'GSS-TOT'!W19)</f>
        <v>3709554.0379265561</v>
      </c>
      <c r="X18" s="39">
        <f>SUM(FSS!X22,'GSS-TOT'!X19)</f>
        <v>5140402.056429198</v>
      </c>
      <c r="Y18" s="39">
        <f>SUM(FSS!Y22,'GSS-TOT'!Y19)</f>
        <v>6921332.0884841047</v>
      </c>
      <c r="Z18" s="39">
        <f>SUM(FSS!Z22,'GSS-TOT'!Z19)</f>
        <v>8697133.17052982</v>
      </c>
      <c r="AA18" s="39">
        <f>SUM(FSS!AA22,'GSS-TOT'!AA19)</f>
        <v>10453832.025209822</v>
      </c>
      <c r="AB18" s="39">
        <f>SUM(FSS!AB22,'GSS-TOT'!AB19)</f>
        <v>12321857.951869819</v>
      </c>
      <c r="AC18" s="39">
        <f>SUM(FSS!AC22,'GSS-TOT'!AC19)</f>
        <v>13673242.470829822</v>
      </c>
      <c r="AD18" s="39">
        <f>SUM(FSS!AD22,'GSS-TOT'!AD19)</f>
        <v>14651416.872069821</v>
      </c>
      <c r="AE18" s="39">
        <f>SUM(FSS!AE22,'GSS-TOT'!AE19)</f>
        <v>14651416.872069821</v>
      </c>
      <c r="AF18" s="39">
        <f>SUM(FSS!AF22,'GSS-TOT'!AF19)</f>
        <v>11535864.955244984</v>
      </c>
      <c r="AG18" s="39">
        <f>SUM(FSS!AG22,'GSS-TOT'!AG19)</f>
        <v>7957601.8532041553</v>
      </c>
      <c r="AH18" s="39">
        <f>SUM(FSS!AH22,'GSS-TOT'!AH19)</f>
        <v>5035508.7135486975</v>
      </c>
      <c r="AI18" s="39">
        <f>SUM(FSS!AI22,'GSS-TOT'!AI19)</f>
        <v>3815787.9026940875</v>
      </c>
      <c r="AJ18" s="39">
        <f>SUM(FSS!AJ22,'GSS-TOT'!AJ19)</f>
        <v>5351740.5474540871</v>
      </c>
      <c r="AK18" s="39">
        <f>SUM(FSS!AK22,'GSS-TOT'!AK19)</f>
        <v>7341024.646634087</v>
      </c>
      <c r="AL18" s="39">
        <f>SUM(FSS!AL22,'GSS-TOT'!AL19)</f>
        <v>9323740.7103140876</v>
      </c>
      <c r="AM18" s="32"/>
      <c r="AN18" s="32"/>
    </row>
    <row r="19" spans="1:40">
      <c r="A19" s="4" t="s">
        <v>455</v>
      </c>
      <c r="B19" s="20">
        <v>4.436408237468922</v>
      </c>
      <c r="C19" s="20">
        <f t="shared" ref="C19:AL19" si="6">+C18/C17</f>
        <v>4.5409624687008465</v>
      </c>
      <c r="D19" s="20">
        <f t="shared" si="6"/>
        <v>4.5139845918550501</v>
      </c>
      <c r="E19" s="20">
        <f t="shared" si="6"/>
        <v>4.454924726808219</v>
      </c>
      <c r="F19" s="135">
        <f t="shared" si="6"/>
        <v>4.4198088035717458</v>
      </c>
      <c r="G19" s="20">
        <f t="shared" si="6"/>
        <v>4.3911638474130781</v>
      </c>
      <c r="H19" s="20">
        <f t="shared" si="6"/>
        <v>4.3730975226229827</v>
      </c>
      <c r="I19" s="20">
        <f t="shared" si="6"/>
        <v>4.3570122382816603</v>
      </c>
      <c r="J19" s="20">
        <f t="shared" si="6"/>
        <v>4.3205388873675146</v>
      </c>
      <c r="K19" s="20">
        <f t="shared" si="6"/>
        <v>4.2708806925684941</v>
      </c>
      <c r="L19" s="20">
        <f t="shared" si="6"/>
        <v>3.9723261259783498</v>
      </c>
      <c r="M19" s="20">
        <f t="shared" si="6"/>
        <v>3.5710866408671</v>
      </c>
      <c r="N19" s="20">
        <f t="shared" si="6"/>
        <v>3.3702404538438366</v>
      </c>
      <c r="O19" s="20">
        <f t="shared" si="6"/>
        <v>3.2992982492598104</v>
      </c>
      <c r="P19" s="20">
        <f t="shared" si="6"/>
        <v>3.2813842707352139</v>
      </c>
      <c r="Q19" s="20">
        <f t="shared" si="6"/>
        <v>3.2695890733337798</v>
      </c>
      <c r="R19" s="135">
        <f t="shared" si="6"/>
        <v>3.2618875312575533</v>
      </c>
      <c r="S19" s="20">
        <f t="shared" si="6"/>
        <v>3.2618875312575533</v>
      </c>
      <c r="T19" s="20">
        <f t="shared" si="6"/>
        <v>3.2553052381943912</v>
      </c>
      <c r="U19" s="20">
        <f t="shared" si="6"/>
        <v>3.240047879849238</v>
      </c>
      <c r="V19" s="20">
        <f t="shared" si="6"/>
        <v>3.2123100433585918</v>
      </c>
      <c r="W19" s="20">
        <f t="shared" si="6"/>
        <v>3.1952386202315268</v>
      </c>
      <c r="X19" s="20">
        <f t="shared" si="6"/>
        <v>3.2873179077384833</v>
      </c>
      <c r="Y19" s="20">
        <f t="shared" si="6"/>
        <v>3.3244762324222701</v>
      </c>
      <c r="Z19" s="20">
        <f t="shared" si="6"/>
        <v>3.3514884361642272</v>
      </c>
      <c r="AA19" s="20">
        <f t="shared" si="6"/>
        <v>3.3878886121488412</v>
      </c>
      <c r="AB19" s="20">
        <f t="shared" si="6"/>
        <v>3.4190602943443671</v>
      </c>
      <c r="AC19" s="20">
        <f t="shared" si="6"/>
        <v>3.4363221431749342</v>
      </c>
      <c r="AD19" s="135">
        <f t="shared" si="6"/>
        <v>3.4481917069787755</v>
      </c>
      <c r="AE19" s="20">
        <f t="shared" si="6"/>
        <v>3.4481917069787755</v>
      </c>
      <c r="AF19" s="20">
        <f t="shared" si="6"/>
        <v>3.4409737738218853</v>
      </c>
      <c r="AG19" s="20">
        <f t="shared" si="6"/>
        <v>3.4259538317629556</v>
      </c>
      <c r="AH19" s="20">
        <f t="shared" si="6"/>
        <v>3.39813557337532</v>
      </c>
      <c r="AI19" s="20">
        <f t="shared" si="6"/>
        <v>3.3738021432103085</v>
      </c>
      <c r="AJ19" s="20">
        <f t="shared" si="6"/>
        <v>3.4893192558734336</v>
      </c>
      <c r="AK19" s="20">
        <f t="shared" si="6"/>
        <v>3.5775431390672794</v>
      </c>
      <c r="AL19" s="20">
        <f t="shared" si="6"/>
        <v>3.6349181280201868</v>
      </c>
      <c r="AM19" s="10"/>
      <c r="AN19" s="10"/>
    </row>
    <row r="20" spans="1:40" s="31" customFormat="1">
      <c r="A20" s="31" t="s">
        <v>460</v>
      </c>
      <c r="B20" s="22">
        <f>SUM(FSS!B25,'GSS-TOT'!B22)</f>
        <v>2689997</v>
      </c>
      <c r="C20" s="22">
        <f>SUM(FSS!C25,'GSS-TOT'!C22)</f>
        <v>3252362</v>
      </c>
      <c r="D20" s="22">
        <f>SUM(FSS!D25,'GSS-TOT'!D22)</f>
        <v>3718979</v>
      </c>
      <c r="E20" s="22">
        <f>SUM(FSS!E25,'GSS-TOT'!E22)</f>
        <v>4085107</v>
      </c>
      <c r="F20" s="22">
        <f>SUM(FSS!F25,'GSS-TOT'!F22)</f>
        <v>4230235</v>
      </c>
      <c r="G20" s="22">
        <f>SUM(FSS!G25,'GSS-TOT'!G22)</f>
        <v>4236932</v>
      </c>
      <c r="H20" s="22">
        <f>SUM(FSS!H25,'GSS-TOT'!H22)</f>
        <v>3542603</v>
      </c>
      <c r="I20" s="22">
        <f>SUM(FSS!I25,'GSS-TOT'!I22)</f>
        <v>2535825</v>
      </c>
      <c r="J20" s="22">
        <f>SUM(FSS!J25,'GSS-TOT'!J22)</f>
        <v>1835662</v>
      </c>
      <c r="K20" s="22">
        <f>SUM(FSS!K25,'GSS-TOT'!K22)</f>
        <v>1575711</v>
      </c>
      <c r="L20" s="22">
        <f>SUM(FSS!L25,'GSS-TOT'!L22)</f>
        <v>1603741</v>
      </c>
      <c r="M20" s="22">
        <f>SUM(FSS!M25,'GSS-TOT'!M22)</f>
        <v>2078009</v>
      </c>
      <c r="N20" s="22">
        <f>SUM(FSS!N25,'GSS-TOT'!N22)</f>
        <v>2553467</v>
      </c>
      <c r="O20" s="22"/>
      <c r="P20" s="22"/>
      <c r="Q20" s="22"/>
      <c r="R20" s="131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</row>
    <row r="21" spans="1:40" s="112" customFormat="1">
      <c r="A21" s="112" t="s">
        <v>461</v>
      </c>
      <c r="B21" s="32">
        <f>SUM(FSS!B26,'GSS-TOT'!B23)</f>
        <v>12340284.979056269</v>
      </c>
      <c r="C21" s="32">
        <f>SUM(FSS!C26,'GSS-TOT'!C23)</f>
        <v>14830268.489056267</v>
      </c>
      <c r="D21" s="32">
        <f>SUM(FSS!D26,'GSS-TOT'!D23)</f>
        <v>16897615.109056268</v>
      </c>
      <c r="E21" s="32">
        <f>SUM(FSS!E26,'GSS-TOT'!E23)</f>
        <v>18347774.889056265</v>
      </c>
      <c r="F21" s="32">
        <f>SUM(FSS!F26,'GSS-TOT'!F23)</f>
        <v>18860070.864130586</v>
      </c>
      <c r="G21" s="32">
        <f>SUM(FSS!G26,'GSS-TOT'!G23)</f>
        <v>18779578.045790866</v>
      </c>
      <c r="H21" s="32">
        <f>SUM(FSS!H26,'GSS-TOT'!H23)</f>
        <v>15650561.694029193</v>
      </c>
      <c r="I21" s="32">
        <f>SUM(FSS!I26,'GSS-TOT'!I23)</f>
        <v>11181215.086537365</v>
      </c>
      <c r="J21" s="32">
        <f>SUM(FSS!J26,'GSS-TOT'!J23)</f>
        <v>8066539.6949819587</v>
      </c>
      <c r="K21" s="32">
        <f>SUM(FSS!K26,'GSS-TOT'!K23)</f>
        <v>6885847.7973711509</v>
      </c>
      <c r="L21" s="32">
        <f>SUM(FSS!L26,'GSS-TOT'!L23)</f>
        <v>6531101.2844452932</v>
      </c>
      <c r="M21" s="32">
        <f>SUM(FSS!M26,'GSS-TOT'!M23)</f>
        <v>7611329.7788471766</v>
      </c>
      <c r="N21" s="32">
        <f>SUM(FSS!N26,'GSS-TOT'!N23)</f>
        <v>8833351.5839341544</v>
      </c>
      <c r="O21" s="32"/>
      <c r="P21" s="32"/>
      <c r="Q21" s="32"/>
      <c r="R21" s="197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</row>
    <row r="22" spans="1:40">
      <c r="A22" s="1" t="s">
        <v>451</v>
      </c>
      <c r="B22" s="20">
        <f t="shared" ref="B22:G22" si="7">B21/B20</f>
        <v>4.5874716511045435</v>
      </c>
      <c r="C22" s="20">
        <f t="shared" si="7"/>
        <v>4.5598455796299016</v>
      </c>
      <c r="D22" s="20">
        <f t="shared" si="7"/>
        <v>4.5436167047612441</v>
      </c>
      <c r="E22" s="20">
        <f t="shared" si="7"/>
        <v>4.4913817163311185</v>
      </c>
      <c r="F22" s="20">
        <f t="shared" si="7"/>
        <v>4.4583979055845804</v>
      </c>
      <c r="G22" s="20">
        <f t="shared" si="7"/>
        <v>4.4323529492073197</v>
      </c>
      <c r="H22" s="20">
        <f>H21/H20</f>
        <v>4.4178141592578095</v>
      </c>
      <c r="I22" s="20">
        <f>I21/I20</f>
        <v>4.4093007547986804</v>
      </c>
      <c r="J22" s="20">
        <f>J21/J20</f>
        <v>4.3943491203620049</v>
      </c>
      <c r="K22" s="20">
        <f>K21/K20</f>
        <v>4.3699941152731379</v>
      </c>
      <c r="L22" s="20">
        <f>L21/L20</f>
        <v>4.0724164839866868</v>
      </c>
      <c r="M22" s="20">
        <f t="shared" ref="M22:N22" si="8">M21/M20</f>
        <v>3.6627992365996378</v>
      </c>
      <c r="N22" s="20">
        <f t="shared" si="8"/>
        <v>3.4593560770255323</v>
      </c>
      <c r="O22" s="20"/>
      <c r="P22" s="20"/>
      <c r="Q22" s="20"/>
      <c r="R22" s="18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10"/>
      <c r="AN22" s="10"/>
    </row>
    <row r="23" spans="1:40" s="105" customFormat="1">
      <c r="A23" s="105" t="s">
        <v>468</v>
      </c>
      <c r="B23" s="108">
        <f t="shared" ref="B23:D24" si="9">B17-B20</f>
        <v>10693.580000000075</v>
      </c>
      <c r="C23" s="108">
        <f t="shared" si="9"/>
        <v>0</v>
      </c>
      <c r="D23" s="108">
        <f t="shared" si="9"/>
        <v>0</v>
      </c>
      <c r="E23" s="108">
        <f t="shared" ref="E23:G24" si="10">E17-E20</f>
        <v>0</v>
      </c>
      <c r="F23" s="108">
        <f t="shared" si="10"/>
        <v>89645</v>
      </c>
      <c r="G23" s="108">
        <f t="shared" si="10"/>
        <v>89645</v>
      </c>
      <c r="H23" s="108">
        <f t="shared" ref="H23:J24" si="11">H17-H20</f>
        <v>89645</v>
      </c>
      <c r="I23" s="108">
        <f t="shared" si="11"/>
        <v>89645</v>
      </c>
      <c r="J23" s="108">
        <f t="shared" si="11"/>
        <v>89645</v>
      </c>
      <c r="K23" s="108">
        <f>K17-K20</f>
        <v>89645</v>
      </c>
      <c r="L23" s="108">
        <f>L17-L20</f>
        <v>89645</v>
      </c>
      <c r="M23" s="108">
        <f t="shared" ref="M23:N23" si="12">M17-M20</f>
        <v>89947</v>
      </c>
      <c r="N23" s="108">
        <f t="shared" si="12"/>
        <v>89947</v>
      </c>
    </row>
    <row r="24" spans="1:40" s="112" customFormat="1">
      <c r="A24" s="112" t="s">
        <v>469</v>
      </c>
      <c r="B24" s="32">
        <f t="shared" si="9"/>
        <v>-358919.04308954813</v>
      </c>
      <c r="C24" s="30">
        <f t="shared" si="9"/>
        <v>-61414.712427444756</v>
      </c>
      <c r="D24" s="30">
        <f t="shared" si="9"/>
        <v>-110201.20562376454</v>
      </c>
      <c r="E24" s="30">
        <f t="shared" si="10"/>
        <v>-148930.70309892297</v>
      </c>
      <c r="F24" s="30">
        <f t="shared" si="10"/>
        <v>232972.79024292529</v>
      </c>
      <c r="G24" s="30">
        <f t="shared" si="10"/>
        <v>219130.45965806767</v>
      </c>
      <c r="H24" s="30">
        <f t="shared" si="11"/>
        <v>233613.03632308915</v>
      </c>
      <c r="I24" s="30">
        <f t="shared" si="11"/>
        <v>257989.8347039856</v>
      </c>
      <c r="J24" s="30">
        <f t="shared" si="11"/>
        <v>251824.06863892917</v>
      </c>
      <c r="K24" s="30">
        <f>K18-K21</f>
        <v>226688.98928194679</v>
      </c>
      <c r="L24" s="30">
        <f>L18-L21</f>
        <v>195580.16472068056</v>
      </c>
      <c r="M24" s="30">
        <f t="shared" ref="M24:N24" si="13">M18-M21</f>
        <v>130628.93074049801</v>
      </c>
      <c r="N24" s="30">
        <f t="shared" si="13"/>
        <v>75589.215122997761</v>
      </c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3"/>
    </row>
    <row r="40" spans="1:1">
      <c r="A40" s="3"/>
    </row>
    <row r="41" spans="1:1">
      <c r="A41" s="5"/>
    </row>
    <row r="42" spans="1:1">
      <c r="A42" s="2"/>
    </row>
  </sheetData>
  <phoneticPr fontId="10" type="noConversion"/>
  <pageMargins left="0.75" right="0.75" top="1" bottom="1" header="0.5" footer="0.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 codeName="Sheet19">
    <pageSetUpPr fitToPage="1"/>
  </sheetPr>
  <dimension ref="A1:DA187"/>
  <sheetViews>
    <sheetView zoomScale="50" workbookViewId="0">
      <pane xSplit="2" ySplit="1" topLeftCell="C2" activePane="bottomRight" state="frozen"/>
      <selection activeCell="I74" sqref="I74"/>
      <selection pane="topRight" activeCell="I74" sqref="I74"/>
      <selection pane="bottomLeft" activeCell="I74" sqref="I74"/>
      <selection pane="bottomRight"/>
    </sheetView>
  </sheetViews>
  <sheetFormatPr defaultRowHeight="20.25"/>
  <cols>
    <col min="1" max="1" width="65.6640625" style="1" bestFit="1" customWidth="1"/>
    <col min="2" max="2" width="8.109375" style="1" bestFit="1" customWidth="1"/>
    <col min="3" max="3" width="17.88671875" style="24" bestFit="1" customWidth="1"/>
    <col min="4" max="5" width="17.109375" style="24" bestFit="1" customWidth="1"/>
    <col min="6" max="6" width="19.109375" style="10" bestFit="1" customWidth="1"/>
    <col min="7" max="7" width="17.109375" style="10" bestFit="1" customWidth="1"/>
    <col min="8" max="8" width="17" style="10" bestFit="1" customWidth="1"/>
    <col min="9" max="9" width="18" style="10" bestFit="1" customWidth="1"/>
    <col min="10" max="11" width="16.77734375" style="10" bestFit="1" customWidth="1"/>
    <col min="12" max="12" width="17" style="10" bestFit="1" customWidth="1"/>
    <col min="13" max="14" width="16.109375" style="10" bestFit="1" customWidth="1"/>
    <col min="15" max="15" width="18.33203125" style="10" bestFit="1" customWidth="1"/>
    <col min="16" max="16" width="17.6640625" style="1" bestFit="1" customWidth="1"/>
    <col min="17" max="17" width="8.109375" style="1" bestFit="1" customWidth="1"/>
    <col min="18" max="105" width="2.77734375" style="1" bestFit="1" customWidth="1"/>
    <col min="106" max="16384" width="8.88671875" style="1"/>
  </cols>
  <sheetData>
    <row r="1" spans="1:45">
      <c r="C1" s="14">
        <v>40725</v>
      </c>
      <c r="D1" s="14">
        <v>40756</v>
      </c>
      <c r="E1" s="14">
        <v>40787</v>
      </c>
      <c r="F1" s="14">
        <v>40817</v>
      </c>
      <c r="G1" s="14">
        <v>40848</v>
      </c>
      <c r="H1" s="14">
        <v>40878</v>
      </c>
      <c r="I1" s="14">
        <v>40909</v>
      </c>
      <c r="J1" s="14">
        <v>40940</v>
      </c>
      <c r="K1" s="14">
        <v>40969</v>
      </c>
      <c r="L1" s="14">
        <v>41000</v>
      </c>
      <c r="M1" s="14">
        <v>41030</v>
      </c>
      <c r="N1" s="14">
        <v>41061</v>
      </c>
      <c r="O1" s="11" t="s">
        <v>857</v>
      </c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11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11"/>
    </row>
    <row r="2" spans="1:45" s="31" customFormat="1">
      <c r="A2" s="31" t="s">
        <v>264</v>
      </c>
      <c r="B2" s="100" t="s">
        <v>47</v>
      </c>
      <c r="C2" s="394">
        <v>191456</v>
      </c>
      <c r="D2" s="394">
        <v>159557</v>
      </c>
      <c r="E2" s="429">
        <v>154410</v>
      </c>
      <c r="F2" s="429">
        <v>159557</v>
      </c>
      <c r="G2" s="28">
        <v>0</v>
      </c>
      <c r="H2" s="28">
        <v>0</v>
      </c>
      <c r="I2" s="394">
        <v>77500</v>
      </c>
      <c r="J2" s="28"/>
      <c r="K2" s="28"/>
      <c r="L2" s="28"/>
      <c r="M2" s="394">
        <v>182146</v>
      </c>
      <c r="N2" s="394">
        <v>179100</v>
      </c>
      <c r="O2" s="22">
        <f>SUM(C2:N2)</f>
        <v>1103726</v>
      </c>
      <c r="Q2" s="100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F2" s="100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</row>
    <row r="3" spans="1:45" s="99" customFormat="1">
      <c r="A3" s="31" t="s">
        <v>264</v>
      </c>
      <c r="B3" s="98" t="s">
        <v>48</v>
      </c>
      <c r="C3" s="410">
        <f>C4/C2</f>
        <v>4.5</v>
      </c>
      <c r="D3" s="410">
        <f>D4/D2</f>
        <v>4.5</v>
      </c>
      <c r="E3" s="410">
        <f>E4/E2</f>
        <v>3.9100000000000015</v>
      </c>
      <c r="F3" s="410">
        <f>F4/F2</f>
        <v>3.8499999999999996</v>
      </c>
      <c r="G3" s="17"/>
      <c r="H3" s="17"/>
      <c r="I3" s="410">
        <f>I4/I2</f>
        <v>2.8640322580645159</v>
      </c>
      <c r="J3" s="17"/>
      <c r="K3" s="17"/>
      <c r="L3" s="17"/>
      <c r="M3" s="410">
        <f>M4/M2</f>
        <v>2.0799999999999992</v>
      </c>
      <c r="N3" s="410">
        <f>N4/N2</f>
        <v>2.4499999999999997</v>
      </c>
      <c r="O3" s="16">
        <f>O4/O2</f>
        <v>3.4766030971454867</v>
      </c>
      <c r="Q3" s="98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F3" s="98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</row>
    <row r="4" spans="1:45">
      <c r="A4" s="31" t="s">
        <v>264</v>
      </c>
      <c r="B4" s="97" t="s">
        <v>49</v>
      </c>
      <c r="C4" s="411">
        <v>861552</v>
      </c>
      <c r="D4" s="411">
        <v>718006.5</v>
      </c>
      <c r="E4" s="411">
        <v>603743.10000000021</v>
      </c>
      <c r="F4" s="411">
        <v>614294.44999999995</v>
      </c>
      <c r="G4" s="26">
        <v>0</v>
      </c>
      <c r="H4" s="26">
        <v>0</v>
      </c>
      <c r="I4" s="411">
        <v>221962.49999999997</v>
      </c>
      <c r="J4" s="26"/>
      <c r="K4" s="26"/>
      <c r="L4" s="26"/>
      <c r="M4" s="411">
        <v>378863.67999999988</v>
      </c>
      <c r="N4" s="411">
        <v>438794.99999999994</v>
      </c>
      <c r="O4" s="25">
        <f>SUM(C4:N4)</f>
        <v>3837217.2299999995</v>
      </c>
      <c r="Q4" s="97"/>
      <c r="R4" s="25"/>
      <c r="S4" s="25"/>
      <c r="T4" s="10"/>
      <c r="U4" s="10"/>
      <c r="V4" s="25"/>
      <c r="W4" s="25"/>
      <c r="X4" s="25"/>
      <c r="Y4" s="25"/>
      <c r="Z4" s="25"/>
      <c r="AA4" s="10"/>
      <c r="AB4" s="10"/>
      <c r="AC4" s="10"/>
      <c r="AD4" s="25"/>
      <c r="AF4" s="97"/>
      <c r="AG4" s="25"/>
      <c r="AH4" s="25"/>
      <c r="AI4" s="10"/>
      <c r="AJ4" s="10"/>
      <c r="AK4" s="25"/>
      <c r="AL4" s="25"/>
      <c r="AM4" s="25"/>
      <c r="AN4" s="25"/>
      <c r="AO4" s="25"/>
      <c r="AP4" s="10"/>
      <c r="AQ4" s="10"/>
      <c r="AR4" s="10"/>
      <c r="AS4" s="25"/>
    </row>
    <row r="5" spans="1:45" s="31" customFormat="1">
      <c r="A5" s="31" t="s">
        <v>265</v>
      </c>
      <c r="B5" s="100" t="s">
        <v>47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2">
        <f>SUM(C5:N5)</f>
        <v>0</v>
      </c>
      <c r="Q5" s="10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F5" s="100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</row>
    <row r="6" spans="1:45" s="99" customFormat="1">
      <c r="A6" s="31" t="s">
        <v>265</v>
      </c>
      <c r="B6" s="98" t="s">
        <v>48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6" t="e">
        <f>O7/O5</f>
        <v>#DIV/0!</v>
      </c>
      <c r="P6" s="103"/>
      <c r="Q6" s="98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31"/>
      <c r="AF6" s="98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</row>
    <row r="7" spans="1:45" s="32" customFormat="1">
      <c r="A7" s="31" t="s">
        <v>265</v>
      </c>
      <c r="B7" s="104" t="s">
        <v>49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2">
        <f>SUM(C7:N7)</f>
        <v>0</v>
      </c>
      <c r="P7" s="6"/>
      <c r="Q7" s="104"/>
      <c r="AE7" s="6"/>
      <c r="AF7" s="104"/>
    </row>
    <row r="8" spans="1:45" s="22" customFormat="1">
      <c r="A8" s="31" t="s">
        <v>586</v>
      </c>
      <c r="B8" s="100" t="s">
        <v>47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2">
        <f>SUM(C8:N8)</f>
        <v>0</v>
      </c>
      <c r="P8" s="111"/>
      <c r="Q8" s="100"/>
      <c r="AE8" s="111"/>
      <c r="AF8" s="100"/>
    </row>
    <row r="9" spans="1:45" s="32" customFormat="1">
      <c r="A9" s="31" t="s">
        <v>586</v>
      </c>
      <c r="B9" s="98" t="s">
        <v>48</v>
      </c>
      <c r="C9" s="39"/>
      <c r="D9" s="17"/>
      <c r="E9" s="17"/>
      <c r="F9" s="39"/>
      <c r="G9" s="17"/>
      <c r="H9" s="17"/>
      <c r="I9" s="17"/>
      <c r="J9" s="17"/>
      <c r="K9" s="17"/>
      <c r="L9" s="39"/>
      <c r="M9" s="39"/>
      <c r="N9" s="39"/>
      <c r="O9" s="16" t="e">
        <f>O10/O8</f>
        <v>#DIV/0!</v>
      </c>
      <c r="P9" s="6"/>
      <c r="Q9" s="104"/>
      <c r="AE9" s="6"/>
      <c r="AF9" s="104"/>
    </row>
    <row r="10" spans="1:45" s="32" customFormat="1">
      <c r="A10" s="31" t="s">
        <v>586</v>
      </c>
      <c r="B10" s="97" t="s">
        <v>49</v>
      </c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2">
        <f>SUM(C10:N10)</f>
        <v>0</v>
      </c>
      <c r="P10" s="6"/>
      <c r="Q10" s="104"/>
      <c r="AE10" s="6"/>
      <c r="AF10" s="104"/>
    </row>
    <row r="11" spans="1:45" s="105" customFormat="1">
      <c r="A11" s="105" t="s">
        <v>749</v>
      </c>
      <c r="B11" s="106" t="s">
        <v>47</v>
      </c>
      <c r="C11" s="107"/>
      <c r="D11" s="107"/>
      <c r="E11" s="107"/>
      <c r="F11" s="107"/>
      <c r="G11" s="107"/>
      <c r="H11" s="285"/>
      <c r="I11" s="285"/>
      <c r="J11" s="285"/>
      <c r="K11" s="107"/>
      <c r="L11" s="107"/>
      <c r="M11" s="107"/>
      <c r="N11" s="107"/>
      <c r="O11" s="30">
        <f>SUM(C11:N11)</f>
        <v>0</v>
      </c>
      <c r="Q11" s="106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F11" s="106"/>
      <c r="AG11" s="108"/>
      <c r="AH11" s="108"/>
      <c r="AI11" s="108"/>
      <c r="AJ11" s="108"/>
      <c r="AK11" s="108"/>
      <c r="AL11" s="108"/>
      <c r="AM11" s="108"/>
      <c r="AN11" s="108"/>
      <c r="AO11" s="108"/>
      <c r="AP11" s="108"/>
      <c r="AQ11" s="108"/>
      <c r="AR11" s="108"/>
      <c r="AS11" s="108"/>
    </row>
    <row r="12" spans="1:45">
      <c r="A12" s="105" t="s">
        <v>749</v>
      </c>
      <c r="B12" s="98" t="s">
        <v>48</v>
      </c>
      <c r="C12" s="26"/>
      <c r="D12" s="17"/>
      <c r="E12" s="17"/>
      <c r="F12" s="17"/>
      <c r="G12" s="17"/>
      <c r="H12" s="285"/>
      <c r="I12" s="285"/>
      <c r="J12" s="285"/>
      <c r="K12" s="21"/>
      <c r="L12" s="21"/>
      <c r="M12" s="24"/>
      <c r="N12" s="24"/>
      <c r="O12" s="16" t="e">
        <f>O13/O11</f>
        <v>#DIV/0!</v>
      </c>
      <c r="P12" s="31"/>
      <c r="Q12" s="97"/>
      <c r="R12" s="25"/>
      <c r="S12" s="10"/>
      <c r="T12" s="10"/>
      <c r="U12" s="10"/>
      <c r="V12" s="25"/>
      <c r="W12" s="25"/>
      <c r="X12" s="25"/>
      <c r="Y12" s="25"/>
      <c r="Z12" s="25"/>
      <c r="AA12" s="10"/>
      <c r="AB12" s="10"/>
      <c r="AC12" s="10"/>
      <c r="AD12" s="25"/>
      <c r="AE12" s="31"/>
      <c r="AF12" s="97"/>
      <c r="AG12" s="25"/>
      <c r="AH12" s="10"/>
      <c r="AI12" s="10"/>
      <c r="AJ12" s="10"/>
      <c r="AK12" s="25"/>
      <c r="AL12" s="25"/>
      <c r="AM12" s="25"/>
      <c r="AN12" s="25"/>
      <c r="AO12" s="25"/>
      <c r="AP12" s="10"/>
      <c r="AQ12" s="10"/>
      <c r="AR12" s="10"/>
      <c r="AS12" s="25"/>
    </row>
    <row r="13" spans="1:45" s="110" customFormat="1">
      <c r="A13" s="105" t="s">
        <v>749</v>
      </c>
      <c r="B13" s="109" t="s">
        <v>49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30">
        <f>SUM(C13:N13)</f>
        <v>0</v>
      </c>
      <c r="Q13" s="109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F13" s="109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</row>
    <row r="14" spans="1:45" s="31" customFormat="1">
      <c r="A14" s="111" t="s">
        <v>276</v>
      </c>
      <c r="B14" s="100" t="s">
        <v>47</v>
      </c>
      <c r="C14" s="394">
        <v>12028</v>
      </c>
      <c r="D14" s="394">
        <f>12028</f>
        <v>12028</v>
      </c>
      <c r="E14" s="394">
        <v>11640</v>
      </c>
      <c r="F14" s="394">
        <v>12028</v>
      </c>
      <c r="G14" s="394">
        <v>11640</v>
      </c>
      <c r="H14" s="394">
        <v>12028</v>
      </c>
      <c r="I14" s="394">
        <v>12028</v>
      </c>
      <c r="J14" s="394">
        <v>11252</v>
      </c>
      <c r="K14" s="394">
        <v>12028</v>
      </c>
      <c r="L14" s="394">
        <v>11580</v>
      </c>
      <c r="M14" s="394">
        <v>11966</v>
      </c>
      <c r="N14" s="394">
        <v>11580</v>
      </c>
      <c r="O14" s="22">
        <f>SUM(C14:N14)</f>
        <v>141826</v>
      </c>
      <c r="Q14" s="100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F14" s="100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</row>
    <row r="15" spans="1:45" s="99" customFormat="1">
      <c r="A15" s="7" t="s">
        <v>276</v>
      </c>
      <c r="B15" s="98" t="s">
        <v>48</v>
      </c>
      <c r="C15" s="412">
        <v>4.3600000000000003</v>
      </c>
      <c r="D15" s="410">
        <v>4.3600000000000003</v>
      </c>
      <c r="E15" s="410">
        <v>3.85</v>
      </c>
      <c r="F15" s="410">
        <v>3.74</v>
      </c>
      <c r="G15" s="410">
        <v>3.47</v>
      </c>
      <c r="H15" s="410">
        <v>3.33</v>
      </c>
      <c r="I15" s="410">
        <v>3.07</v>
      </c>
      <c r="J15" s="410">
        <v>2.69</v>
      </c>
      <c r="K15" s="410">
        <v>2.44</v>
      </c>
      <c r="L15" s="410">
        <v>2.15</v>
      </c>
      <c r="M15" s="410">
        <v>2.02</v>
      </c>
      <c r="N15" s="410">
        <v>2.42</v>
      </c>
      <c r="O15" s="16">
        <f>O16/O14</f>
        <v>3.164165949825843</v>
      </c>
      <c r="Q15" s="98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F15" s="98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</row>
    <row r="16" spans="1:45" s="112" customFormat="1">
      <c r="A16" s="111" t="s">
        <v>276</v>
      </c>
      <c r="B16" s="104" t="s">
        <v>49</v>
      </c>
      <c r="C16" s="393">
        <f t="shared" ref="C16:L16" si="0">C14*C15</f>
        <v>52442.080000000002</v>
      </c>
      <c r="D16" s="393">
        <f t="shared" si="0"/>
        <v>52442.080000000002</v>
      </c>
      <c r="E16" s="393">
        <f t="shared" si="0"/>
        <v>44814</v>
      </c>
      <c r="F16" s="393">
        <f t="shared" si="0"/>
        <v>44984.72</v>
      </c>
      <c r="G16" s="393">
        <f t="shared" si="0"/>
        <v>40390.800000000003</v>
      </c>
      <c r="H16" s="393">
        <f t="shared" si="0"/>
        <v>40053.24</v>
      </c>
      <c r="I16" s="393">
        <f t="shared" si="0"/>
        <v>36925.96</v>
      </c>
      <c r="J16" s="393">
        <f t="shared" si="0"/>
        <v>30267.88</v>
      </c>
      <c r="K16" s="393">
        <f t="shared" si="0"/>
        <v>29348.32</v>
      </c>
      <c r="L16" s="393">
        <f t="shared" si="0"/>
        <v>24897</v>
      </c>
      <c r="M16" s="393">
        <f>M14*M15</f>
        <v>24171.32</v>
      </c>
      <c r="N16" s="393">
        <f>N14*N15</f>
        <v>28023.599999999999</v>
      </c>
      <c r="O16" s="25">
        <f>SUM(C16:N16)</f>
        <v>448761</v>
      </c>
      <c r="Q16" s="104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F16" s="104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</row>
    <row r="17" spans="1:45" s="31" customFormat="1">
      <c r="A17" s="111" t="s">
        <v>277</v>
      </c>
      <c r="B17" s="100" t="s">
        <v>47</v>
      </c>
      <c r="C17" s="394">
        <v>248</v>
      </c>
      <c r="D17" s="394">
        <v>248</v>
      </c>
      <c r="E17" s="394">
        <v>240</v>
      </c>
      <c r="F17" s="394">
        <v>248</v>
      </c>
      <c r="G17" s="394">
        <v>240</v>
      </c>
      <c r="H17" s="394">
        <v>248</v>
      </c>
      <c r="I17" s="394">
        <v>248</v>
      </c>
      <c r="J17" s="394">
        <v>232</v>
      </c>
      <c r="K17" s="394">
        <v>248</v>
      </c>
      <c r="L17" s="394">
        <v>240</v>
      </c>
      <c r="M17" s="394">
        <v>248</v>
      </c>
      <c r="N17" s="394">
        <v>240</v>
      </c>
      <c r="O17" s="22">
        <f>SUM(C17:N17)</f>
        <v>2928</v>
      </c>
      <c r="Q17" s="100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F17" s="100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</row>
    <row r="18" spans="1:45" s="99" customFormat="1">
      <c r="A18" s="7" t="s">
        <v>277</v>
      </c>
      <c r="B18" s="98" t="s">
        <v>48</v>
      </c>
      <c r="C18" s="410">
        <v>4.38</v>
      </c>
      <c r="D18" s="410">
        <v>4.3899999999999997</v>
      </c>
      <c r="E18" s="410">
        <v>3.88</v>
      </c>
      <c r="F18" s="410">
        <v>3.74</v>
      </c>
      <c r="G18" s="410">
        <v>3.5</v>
      </c>
      <c r="H18" s="410">
        <v>3.37</v>
      </c>
      <c r="I18" s="410">
        <v>3.1</v>
      </c>
      <c r="J18" s="410">
        <v>2.71</v>
      </c>
      <c r="K18" s="410">
        <v>2.4500000000000002</v>
      </c>
      <c r="L18" s="410">
        <v>2.17</v>
      </c>
      <c r="M18" s="410">
        <v>2.04</v>
      </c>
      <c r="N18" s="410">
        <v>2.42</v>
      </c>
      <c r="O18" s="16">
        <f>O19/O17</f>
        <v>3.1837704918032785</v>
      </c>
      <c r="Q18" s="98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F18" s="98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</row>
    <row r="19" spans="1:45" s="112" customFormat="1">
      <c r="A19" s="111" t="s">
        <v>277</v>
      </c>
      <c r="B19" s="104" t="s">
        <v>49</v>
      </c>
      <c r="C19" s="393">
        <f t="shared" ref="C19:N19" si="1">C17*C18</f>
        <v>1086.24</v>
      </c>
      <c r="D19" s="393">
        <f t="shared" si="1"/>
        <v>1088.72</v>
      </c>
      <c r="E19" s="393">
        <f t="shared" si="1"/>
        <v>931.19999999999993</v>
      </c>
      <c r="F19" s="393">
        <f t="shared" si="1"/>
        <v>927.5200000000001</v>
      </c>
      <c r="G19" s="393">
        <f t="shared" si="1"/>
        <v>840</v>
      </c>
      <c r="H19" s="393">
        <f t="shared" si="1"/>
        <v>835.76</v>
      </c>
      <c r="I19" s="393">
        <f t="shared" si="1"/>
        <v>768.80000000000007</v>
      </c>
      <c r="J19" s="393">
        <f t="shared" si="1"/>
        <v>628.72</v>
      </c>
      <c r="K19" s="393">
        <f t="shared" si="1"/>
        <v>607.6</v>
      </c>
      <c r="L19" s="393">
        <f t="shared" si="1"/>
        <v>520.79999999999995</v>
      </c>
      <c r="M19" s="393">
        <f t="shared" si="1"/>
        <v>505.92</v>
      </c>
      <c r="N19" s="393">
        <f t="shared" si="1"/>
        <v>580.79999999999995</v>
      </c>
      <c r="O19" s="25">
        <f>SUM(C19:N19)</f>
        <v>9322.08</v>
      </c>
      <c r="Q19" s="104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F19" s="104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</row>
    <row r="20" spans="1:45">
      <c r="A20" s="33" t="s">
        <v>188</v>
      </c>
      <c r="B20" s="113" t="s">
        <v>47</v>
      </c>
      <c r="C20" s="131">
        <f t="shared" ref="C20:H20" si="2">SUM(C2,C5,C8,C11,C14,C17)</f>
        <v>203732</v>
      </c>
      <c r="D20" s="131">
        <f t="shared" si="2"/>
        <v>171833</v>
      </c>
      <c r="E20" s="131">
        <f t="shared" si="2"/>
        <v>166290</v>
      </c>
      <c r="F20" s="131">
        <f t="shared" si="2"/>
        <v>171833</v>
      </c>
      <c r="G20" s="131">
        <f t="shared" si="2"/>
        <v>11880</v>
      </c>
      <c r="H20" s="131">
        <f t="shared" si="2"/>
        <v>12276</v>
      </c>
      <c r="I20" s="131">
        <f t="shared" ref="I20:N20" si="3">SUM(I2,I5,I8,I11,I14,I17)</f>
        <v>89776</v>
      </c>
      <c r="J20" s="131">
        <f t="shared" si="3"/>
        <v>11484</v>
      </c>
      <c r="K20" s="131">
        <f t="shared" si="3"/>
        <v>12276</v>
      </c>
      <c r="L20" s="131">
        <f t="shared" si="3"/>
        <v>11820</v>
      </c>
      <c r="M20" s="131">
        <f t="shared" si="3"/>
        <v>194360</v>
      </c>
      <c r="N20" s="131">
        <f t="shared" si="3"/>
        <v>190920</v>
      </c>
      <c r="O20" s="59">
        <f>SUM(C20:N20)</f>
        <v>1248480</v>
      </c>
      <c r="P20" s="33"/>
      <c r="Q20" s="113"/>
      <c r="R20" s="28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33"/>
      <c r="AF20" s="113"/>
      <c r="AG20" s="28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</row>
    <row r="21" spans="1:45">
      <c r="A21" s="33" t="s">
        <v>188</v>
      </c>
      <c r="B21" s="113" t="s">
        <v>49</v>
      </c>
      <c r="C21" s="199">
        <f t="shared" ref="C21:H21" si="4">SUM(C4,C7,C10,C13,C16,C19)</f>
        <v>915080.32</v>
      </c>
      <c r="D21" s="199">
        <f t="shared" si="4"/>
        <v>771537.29999999993</v>
      </c>
      <c r="E21" s="199">
        <f t="shared" si="4"/>
        <v>649488.30000000016</v>
      </c>
      <c r="F21" s="199">
        <f t="shared" si="4"/>
        <v>660206.68999999994</v>
      </c>
      <c r="G21" s="199">
        <f t="shared" si="4"/>
        <v>41230.800000000003</v>
      </c>
      <c r="H21" s="199">
        <f t="shared" si="4"/>
        <v>40889</v>
      </c>
      <c r="I21" s="199">
        <f t="shared" ref="I21:N21" si="5">SUM(I4,I7,I10,I13,I16,I19)</f>
        <v>259657.25999999995</v>
      </c>
      <c r="J21" s="199">
        <f t="shared" si="5"/>
        <v>30896.600000000002</v>
      </c>
      <c r="K21" s="199">
        <f t="shared" si="5"/>
        <v>29955.919999999998</v>
      </c>
      <c r="L21" s="199">
        <f t="shared" si="5"/>
        <v>25417.8</v>
      </c>
      <c r="M21" s="199">
        <f t="shared" si="5"/>
        <v>403540.91999999987</v>
      </c>
      <c r="N21" s="199">
        <f t="shared" si="5"/>
        <v>467399.39999999991</v>
      </c>
      <c r="O21" s="202">
        <f>SUM(C21:N21)</f>
        <v>4295300.3099999987</v>
      </c>
      <c r="P21" s="33"/>
      <c r="Q21" s="113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5"/>
      <c r="AE21" s="33"/>
      <c r="AF21" s="113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5"/>
    </row>
    <row r="22" spans="1:45" s="99" customFormat="1">
      <c r="A22" s="33" t="s">
        <v>188</v>
      </c>
      <c r="B22" s="114" t="s">
        <v>48</v>
      </c>
      <c r="C22" s="195">
        <f t="shared" ref="C22:L22" si="6">+C21/C20</f>
        <v>4.4915885575167378</v>
      </c>
      <c r="D22" s="195">
        <f t="shared" si="6"/>
        <v>4.4900414937759336</v>
      </c>
      <c r="E22" s="195">
        <f t="shared" si="6"/>
        <v>3.9057568103914857</v>
      </c>
      <c r="F22" s="195">
        <f t="shared" si="6"/>
        <v>3.8421414396536169</v>
      </c>
      <c r="G22" s="195">
        <f t="shared" si="6"/>
        <v>3.4706060606060607</v>
      </c>
      <c r="H22" s="195">
        <f t="shared" si="6"/>
        <v>3.3308080808080809</v>
      </c>
      <c r="I22" s="195">
        <f t="shared" si="6"/>
        <v>2.8922792283015499</v>
      </c>
      <c r="J22" s="195">
        <f t="shared" si="6"/>
        <v>2.6904040404040406</v>
      </c>
      <c r="K22" s="195">
        <f t="shared" si="6"/>
        <v>2.4402020202020203</v>
      </c>
      <c r="L22" s="195">
        <f t="shared" si="6"/>
        <v>2.1504060913705585</v>
      </c>
      <c r="M22" s="195">
        <f t="shared" ref="M22:N22" si="7">+M21/M20</f>
        <v>2.0762549907388346</v>
      </c>
      <c r="N22" s="195">
        <f t="shared" si="7"/>
        <v>2.4481426775612816</v>
      </c>
      <c r="O22" s="34">
        <f>+O21/O20</f>
        <v>3.4404238033448662</v>
      </c>
      <c r="P22" s="115"/>
      <c r="Q22" s="114"/>
      <c r="R22" s="17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15"/>
      <c r="AF22" s="114"/>
      <c r="AG22" s="17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</row>
    <row r="23" spans="1:45">
      <c r="A23" s="33" t="s">
        <v>351</v>
      </c>
      <c r="B23" s="113" t="s">
        <v>47</v>
      </c>
      <c r="C23" s="131"/>
      <c r="D23" s="131"/>
      <c r="E23" s="131"/>
      <c r="F23" s="131"/>
      <c r="G23" s="131"/>
      <c r="H23" s="131">
        <f t="shared" ref="H23:M23" si="8">H5</f>
        <v>0</v>
      </c>
      <c r="I23" s="131">
        <f t="shared" si="8"/>
        <v>0</v>
      </c>
      <c r="J23" s="131">
        <f t="shared" si="8"/>
        <v>0</v>
      </c>
      <c r="K23" s="131">
        <f t="shared" si="8"/>
        <v>0</v>
      </c>
      <c r="L23" s="131">
        <f t="shared" si="8"/>
        <v>0</v>
      </c>
      <c r="M23" s="131">
        <f t="shared" si="8"/>
        <v>0</v>
      </c>
      <c r="N23" s="131">
        <f t="shared" ref="N23" si="9">N5</f>
        <v>0</v>
      </c>
      <c r="O23" s="59">
        <f>SUM(C23:N23)</f>
        <v>0</v>
      </c>
      <c r="R23" s="32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22"/>
      <c r="AG23" s="32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22"/>
    </row>
    <row r="24" spans="1:45" s="112" customFormat="1">
      <c r="A24" s="123" t="s">
        <v>351</v>
      </c>
      <c r="B24" s="281" t="s">
        <v>49</v>
      </c>
      <c r="C24" s="197"/>
      <c r="D24" s="197"/>
      <c r="E24" s="197"/>
      <c r="F24" s="197"/>
      <c r="G24" s="197"/>
      <c r="H24" s="197">
        <f t="shared" ref="H24:M24" si="10">H7</f>
        <v>0</v>
      </c>
      <c r="I24" s="197">
        <f t="shared" si="10"/>
        <v>0</v>
      </c>
      <c r="J24" s="197">
        <f t="shared" si="10"/>
        <v>0</v>
      </c>
      <c r="K24" s="197">
        <f t="shared" si="10"/>
        <v>0</v>
      </c>
      <c r="L24" s="197">
        <f t="shared" si="10"/>
        <v>0</v>
      </c>
      <c r="M24" s="197">
        <f t="shared" si="10"/>
        <v>0</v>
      </c>
      <c r="N24" s="197">
        <f t="shared" ref="N24" si="11">N7</f>
        <v>0</v>
      </c>
      <c r="O24" s="43">
        <f>SUM(C24:N24)</f>
        <v>0</v>
      </c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</row>
    <row r="25" spans="1:45" s="99" customFormat="1">
      <c r="A25" s="115" t="s">
        <v>351</v>
      </c>
      <c r="B25" s="114" t="s">
        <v>48</v>
      </c>
      <c r="C25" s="195"/>
      <c r="D25" s="195"/>
      <c r="E25" s="195"/>
      <c r="F25" s="195"/>
      <c r="G25" s="195"/>
      <c r="H25" s="195"/>
      <c r="I25" s="195"/>
      <c r="J25" s="195"/>
      <c r="K25" s="195"/>
      <c r="L25" s="195"/>
      <c r="M25" s="17"/>
      <c r="N25" s="17"/>
      <c r="O25" s="34" t="e">
        <f>O24/O23</f>
        <v>#DIV/0!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</row>
    <row r="26" spans="1:45">
      <c r="A26" s="33" t="s">
        <v>591</v>
      </c>
      <c r="B26" s="114" t="s">
        <v>48</v>
      </c>
      <c r="C26" s="131"/>
      <c r="D26" s="131"/>
      <c r="E26" s="204"/>
      <c r="F26" s="204"/>
      <c r="G26" s="204"/>
      <c r="H26" s="204"/>
      <c r="I26" s="204"/>
      <c r="J26" s="204"/>
      <c r="K26" s="204"/>
      <c r="L26" s="204"/>
      <c r="M26" s="24"/>
      <c r="N26" s="24"/>
      <c r="O26" s="204" t="e">
        <f>O25-O3</f>
        <v>#DIV/0!</v>
      </c>
      <c r="R26" s="32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22"/>
      <c r="AG26" s="32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22"/>
    </row>
    <row r="27" spans="1:45">
      <c r="A27" s="33" t="s">
        <v>591</v>
      </c>
      <c r="B27" s="113" t="s">
        <v>49</v>
      </c>
      <c r="C27" s="131"/>
      <c r="D27" s="131"/>
      <c r="E27" s="190"/>
      <c r="F27" s="190"/>
      <c r="G27" s="190"/>
      <c r="H27" s="190"/>
      <c r="I27" s="190"/>
      <c r="J27" s="190"/>
      <c r="K27" s="190"/>
      <c r="L27" s="190"/>
      <c r="M27" s="24"/>
      <c r="N27" s="24"/>
      <c r="O27" s="169">
        <f>SUM(C27:N27)</f>
        <v>0</v>
      </c>
      <c r="R27" s="32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22"/>
      <c r="AG27" s="32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22"/>
    </row>
    <row r="28" spans="1:45" s="103" customFormat="1">
      <c r="A28" s="201" t="s">
        <v>352</v>
      </c>
      <c r="C28" s="140"/>
      <c r="D28" s="140"/>
      <c r="E28" s="140"/>
      <c r="F28" s="140"/>
      <c r="G28" s="140"/>
      <c r="H28" s="140">
        <f>H23/H20</f>
        <v>0</v>
      </c>
      <c r="I28" s="140">
        <f>I23/I20</f>
        <v>0</v>
      </c>
      <c r="J28" s="140">
        <f>J23/J20</f>
        <v>0</v>
      </c>
      <c r="K28" s="140">
        <f t="shared" ref="K28:M28" si="12">K23/K20</f>
        <v>0</v>
      </c>
      <c r="L28" s="140">
        <f t="shared" si="12"/>
        <v>0</v>
      </c>
      <c r="M28" s="140">
        <f t="shared" si="12"/>
        <v>0</v>
      </c>
      <c r="N28" s="128"/>
      <c r="O28" s="140">
        <f>O23/O20</f>
        <v>0</v>
      </c>
      <c r="R28" s="124"/>
      <c r="S28" s="124"/>
      <c r="T28" s="124"/>
      <c r="U28" s="124"/>
      <c r="V28" s="124"/>
      <c r="W28" s="124"/>
      <c r="X28" s="124"/>
      <c r="Y28" s="124"/>
      <c r="Z28" s="124"/>
      <c r="AA28" s="124"/>
      <c r="AB28" s="124"/>
      <c r="AC28" s="124"/>
      <c r="AD28" s="124"/>
      <c r="AG28" s="124"/>
      <c r="AH28" s="124"/>
      <c r="AI28" s="124"/>
      <c r="AJ28" s="124"/>
      <c r="AK28" s="124"/>
      <c r="AL28" s="124"/>
      <c r="AM28" s="124"/>
      <c r="AN28" s="124"/>
      <c r="AO28" s="124"/>
      <c r="AP28" s="124"/>
      <c r="AQ28" s="124"/>
      <c r="AR28" s="124"/>
      <c r="AS28" s="124"/>
    </row>
    <row r="29" spans="1:45">
      <c r="C29" s="17"/>
      <c r="D29" s="17"/>
      <c r="E29" s="39"/>
      <c r="F29" s="17"/>
      <c r="G29" s="17"/>
      <c r="H29" s="17"/>
      <c r="I29" s="17"/>
      <c r="J29" s="17"/>
      <c r="K29" s="24"/>
      <c r="L29" s="24"/>
      <c r="M29" s="24"/>
      <c r="N29" s="24"/>
      <c r="O29" s="22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22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22"/>
    </row>
    <row r="30" spans="1:45" s="31" customFormat="1">
      <c r="A30" s="205" t="s">
        <v>862</v>
      </c>
      <c r="B30" s="22" t="s">
        <v>47</v>
      </c>
      <c r="C30" s="394">
        <f>435395+(347200-77500)</f>
        <v>705095</v>
      </c>
      <c r="D30" s="394">
        <f>435395+(347200-77500)</f>
        <v>705095</v>
      </c>
      <c r="E30" s="394">
        <f>421350+(225000-75000)</f>
        <v>571350</v>
      </c>
      <c r="F30" s="394">
        <f>435395+(120900-77500)</f>
        <v>478795</v>
      </c>
      <c r="G30" s="394">
        <f>271350+60000</f>
        <v>331350</v>
      </c>
      <c r="H30" s="394">
        <f>280395+201500</f>
        <v>481895</v>
      </c>
      <c r="I30" s="394">
        <f>125395+201500</f>
        <v>326895</v>
      </c>
      <c r="J30" s="394">
        <f>117305+188500</f>
        <v>305805</v>
      </c>
      <c r="K30" s="394">
        <f>125395+58900</f>
        <v>184295</v>
      </c>
      <c r="L30" s="485">
        <f>344880+111000</f>
        <v>455880</v>
      </c>
      <c r="M30" s="485">
        <f>263376+269700</f>
        <v>533076</v>
      </c>
      <c r="N30" s="485">
        <f>254880+273000</f>
        <v>527880</v>
      </c>
      <c r="O30" s="22">
        <f>SUM(C30:N30)</f>
        <v>5607411</v>
      </c>
      <c r="P30" s="111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111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</row>
    <row r="31" spans="1:45" s="99" customFormat="1">
      <c r="A31" s="205" t="s">
        <v>266</v>
      </c>
      <c r="B31" s="16" t="s">
        <v>48</v>
      </c>
      <c r="C31" s="410">
        <f t="shared" ref="C31:J31" si="13">C32/C30</f>
        <v>4.1692119147065281</v>
      </c>
      <c r="D31" s="410">
        <f t="shared" si="13"/>
        <v>4.1892119147065285</v>
      </c>
      <c r="E31" s="410">
        <f t="shared" si="13"/>
        <v>3.7217996849566815</v>
      </c>
      <c r="F31" s="410">
        <f t="shared" si="13"/>
        <v>3.6428213013920363</v>
      </c>
      <c r="G31" s="410">
        <f t="shared" si="13"/>
        <v>3.4007175192394747</v>
      </c>
      <c r="H31" s="410">
        <f t="shared" si="13"/>
        <v>3.1465599871341263</v>
      </c>
      <c r="I31" s="410">
        <f t="shared" si="13"/>
        <v>2.7961759127548595</v>
      </c>
      <c r="J31" s="410">
        <f t="shared" si="13"/>
        <v>2.4161759127548601</v>
      </c>
      <c r="K31" s="410">
        <f>K32/K30</f>
        <v>2.2915433137089991</v>
      </c>
      <c r="L31" s="410">
        <f>L32/L30</f>
        <v>2.018562779678863</v>
      </c>
      <c r="M31" s="410">
        <f>M32/M30</f>
        <v>1.8053942777390093</v>
      </c>
      <c r="N31" s="410">
        <f>N32/N30</f>
        <v>2.1814071379859064</v>
      </c>
      <c r="O31" s="16">
        <f>O32/O30</f>
        <v>3.1238387082737469</v>
      </c>
      <c r="P31" s="7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7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</row>
    <row r="32" spans="1:45" s="112" customFormat="1">
      <c r="A32" s="351" t="s">
        <v>266</v>
      </c>
      <c r="B32" s="32" t="s">
        <v>49</v>
      </c>
      <c r="C32" s="394">
        <f>(435395*4.305)+((347200-77500)*(4.3-0.35))</f>
        <v>2939690.4749999996</v>
      </c>
      <c r="D32" s="394">
        <f>(435395*4.325)+((347200-77500)*(4.32-0.35))</f>
        <v>2953792.375</v>
      </c>
      <c r="E32" s="394">
        <f>(421350*3.815)+((225000-75000)*(3.81-0.35))</f>
        <v>2126450.25</v>
      </c>
      <c r="F32" s="394">
        <f>(435395*3.675)+((120900-77500)*(3.67-0.35))</f>
        <v>1744164.625</v>
      </c>
      <c r="G32" s="394">
        <f>(271350*3.465)+(60000*(3.46-0.35))</f>
        <v>1126827.75</v>
      </c>
      <c r="H32" s="394">
        <f>(280395*3.295)+(201500*(3.29-0.35))</f>
        <v>1516311.5249999999</v>
      </c>
      <c r="I32" s="394">
        <f>(125395*3.015)+(201500*(3.01-0.35))</f>
        <v>914055.92499999981</v>
      </c>
      <c r="J32" s="394">
        <f>(117305*2.635)+(188500*(2.63-0.35))</f>
        <v>738878.67499999993</v>
      </c>
      <c r="K32" s="393">
        <f>(125395*2.405)+(58900*(2.4-0.35))</f>
        <v>422319.97499999998</v>
      </c>
      <c r="L32" s="486">
        <f>(344880*2.105)+(111000*(2.1-0.35))</f>
        <v>920222.4</v>
      </c>
      <c r="M32" s="486">
        <f>(263376*1.985)+(269700*(1.98-0.35))</f>
        <v>962412.3600000001</v>
      </c>
      <c r="N32" s="485">
        <f>(254880*2.365)+(273000*(2.36-0.35))</f>
        <v>1151521.2000000002</v>
      </c>
      <c r="O32" s="32">
        <f>SUM(C32:N32)</f>
        <v>17516647.535</v>
      </c>
      <c r="P32" s="6"/>
      <c r="Q32" s="32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32"/>
      <c r="AE32" s="6"/>
      <c r="AF32" s="32"/>
      <c r="AG32" s="116"/>
      <c r="AH32" s="116"/>
      <c r="AI32" s="116"/>
      <c r="AJ32" s="116"/>
      <c r="AK32" s="116"/>
      <c r="AL32" s="116"/>
      <c r="AM32" s="116"/>
      <c r="AN32" s="116"/>
      <c r="AO32" s="116"/>
      <c r="AP32" s="116"/>
      <c r="AQ32" s="116"/>
      <c r="AR32" s="116"/>
      <c r="AS32" s="32"/>
    </row>
    <row r="33" spans="1:45" s="31" customFormat="1">
      <c r="A33" s="205" t="s">
        <v>267</v>
      </c>
      <c r="B33" s="22" t="s">
        <v>47</v>
      </c>
      <c r="C33" s="28"/>
      <c r="D33" s="28"/>
      <c r="E33" s="394">
        <v>48000</v>
      </c>
      <c r="F33" s="394">
        <v>104020</v>
      </c>
      <c r="G33" s="394">
        <v>439599</v>
      </c>
      <c r="H33" s="394">
        <v>103866</v>
      </c>
      <c r="I33" s="394">
        <v>176062</v>
      </c>
      <c r="J33" s="394">
        <v>270452</v>
      </c>
      <c r="K33" s="394">
        <v>122225</v>
      </c>
      <c r="L33" s="28"/>
      <c r="M33" s="28"/>
      <c r="N33" s="28"/>
      <c r="O33" s="22">
        <f>SUM(C33:N33)</f>
        <v>1264224</v>
      </c>
      <c r="P33" s="111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111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</row>
    <row r="34" spans="1:45" s="99" customFormat="1">
      <c r="A34" s="205" t="s">
        <v>267</v>
      </c>
      <c r="B34" s="16" t="s">
        <v>48</v>
      </c>
      <c r="C34" s="17"/>
      <c r="D34" s="17"/>
      <c r="E34" s="410">
        <f t="shared" ref="E34:J34" si="14">E35/E33</f>
        <v>3.7588524271113366</v>
      </c>
      <c r="F34" s="410">
        <f t="shared" si="14"/>
        <v>3.6192893320137234</v>
      </c>
      <c r="G34" s="410">
        <f t="shared" si="14"/>
        <v>3.2051328982691101</v>
      </c>
      <c r="H34" s="410">
        <f t="shared" si="14"/>
        <v>3.408015179850163</v>
      </c>
      <c r="I34" s="410">
        <f t="shared" si="14"/>
        <v>2.8439418858531296</v>
      </c>
      <c r="J34" s="410">
        <f t="shared" si="14"/>
        <v>2.588707055802546</v>
      </c>
      <c r="K34" s="410">
        <f>K35/K33</f>
        <v>2.3150941636769038</v>
      </c>
      <c r="L34" s="17"/>
      <c r="M34" s="17"/>
      <c r="N34" s="17"/>
      <c r="O34" s="16">
        <f>O35/O33</f>
        <v>3.008681211203335</v>
      </c>
      <c r="P34" s="7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7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</row>
    <row r="35" spans="1:45" s="112" customFormat="1">
      <c r="A35" s="205" t="s">
        <v>267</v>
      </c>
      <c r="B35" s="32" t="s">
        <v>49</v>
      </c>
      <c r="C35" s="39"/>
      <c r="D35" s="39"/>
      <c r="E35" s="393">
        <v>180424.91650134415</v>
      </c>
      <c r="F35" s="393">
        <v>376478.47631606751</v>
      </c>
      <c r="G35" s="393">
        <v>1408973.2169462026</v>
      </c>
      <c r="H35" s="393">
        <v>353976.90467031702</v>
      </c>
      <c r="I35" s="393">
        <v>500710.09630707366</v>
      </c>
      <c r="J35" s="393">
        <v>700121.00065591012</v>
      </c>
      <c r="K35" s="393">
        <v>282962.38415540959</v>
      </c>
      <c r="L35" s="39"/>
      <c r="M35" s="39"/>
      <c r="N35" s="39"/>
      <c r="O35" s="32">
        <f>SUM(C35:N35)</f>
        <v>3803646.9955523247</v>
      </c>
      <c r="P35" s="6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6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</row>
    <row r="36" spans="1:45" s="31" customFormat="1">
      <c r="A36" s="205" t="s">
        <v>863</v>
      </c>
      <c r="B36" s="22" t="s">
        <v>47</v>
      </c>
      <c r="C36" s="394">
        <v>77500</v>
      </c>
      <c r="D36" s="394">
        <v>77500</v>
      </c>
      <c r="E36" s="394">
        <v>75000</v>
      </c>
      <c r="F36" s="394">
        <v>77500</v>
      </c>
      <c r="G36" s="394">
        <f>75000+75000+90000+75000+75000</f>
        <v>390000</v>
      </c>
      <c r="H36" s="394">
        <f>77500+77500+108500+77500+77500</f>
        <v>418500</v>
      </c>
      <c r="I36" s="394">
        <f>77500+77500+77500+77500+108500+77500+77500</f>
        <v>573500</v>
      </c>
      <c r="J36" s="394">
        <f>72500+72500+72500+72500+101500+72500+72500</f>
        <v>536500</v>
      </c>
      <c r="K36" s="394">
        <f>77500+77500+77500+77500+93000+77500+77500</f>
        <v>558000</v>
      </c>
      <c r="L36" s="394">
        <f>75000+75000+75000</f>
        <v>225000</v>
      </c>
      <c r="M36" s="394">
        <f>77500+93000+77500</f>
        <v>248000</v>
      </c>
      <c r="N36" s="394">
        <f>75000+90000+75000</f>
        <v>240000</v>
      </c>
      <c r="O36" s="22">
        <f>SUM(C36:N36)</f>
        <v>3497000</v>
      </c>
      <c r="P36" s="111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111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</row>
    <row r="37" spans="1:45">
      <c r="A37" s="205" t="s">
        <v>247</v>
      </c>
      <c r="B37" s="10" t="s">
        <v>48</v>
      </c>
      <c r="C37" s="410">
        <f t="shared" ref="C37:H37" si="15">C38/C36</f>
        <v>4.3500000000000005</v>
      </c>
      <c r="D37" s="410">
        <f t="shared" si="15"/>
        <v>4.3500000000000005</v>
      </c>
      <c r="E37" s="410">
        <f t="shared" si="15"/>
        <v>4.3500000000000005</v>
      </c>
      <c r="F37" s="410">
        <f t="shared" si="15"/>
        <v>4.3500000000000005</v>
      </c>
      <c r="G37" s="437">
        <f t="shared" si="15"/>
        <v>3.7980769230769229</v>
      </c>
      <c r="H37" s="437">
        <f t="shared" si="15"/>
        <v>3.8185185185185184</v>
      </c>
      <c r="I37" s="437">
        <f t="shared" ref="I37:O37" si="16">I38/I36</f>
        <v>3.6459459459459458</v>
      </c>
      <c r="J37" s="437">
        <f t="shared" si="16"/>
        <v>3.6459459459459458</v>
      </c>
      <c r="K37" s="437">
        <f t="shared" si="16"/>
        <v>3.6263888888888891</v>
      </c>
      <c r="L37" s="437">
        <f t="shared" si="16"/>
        <v>3.5983333333333332</v>
      </c>
      <c r="M37" s="437">
        <f t="shared" si="16"/>
        <v>3.0059374999999999</v>
      </c>
      <c r="N37" s="437">
        <f t="shared" si="16"/>
        <v>3.0059374999999999</v>
      </c>
      <c r="O37" s="16">
        <f t="shared" si="16"/>
        <v>3.6499778381469832</v>
      </c>
      <c r="P37" s="4"/>
      <c r="Q37" s="10"/>
      <c r="R37" s="16"/>
      <c r="S37" s="16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6"/>
      <c r="AE37" s="4"/>
      <c r="AF37" s="10"/>
      <c r="AG37" s="16"/>
      <c r="AH37" s="16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6"/>
    </row>
    <row r="38" spans="1:45" s="112" customFormat="1">
      <c r="A38" s="351" t="s">
        <v>247</v>
      </c>
      <c r="B38" s="32" t="s">
        <v>49</v>
      </c>
      <c r="C38" s="393">
        <f>(77500*(4.7-0.35))</f>
        <v>337125.00000000006</v>
      </c>
      <c r="D38" s="393">
        <f>(77500*(4.7-0.35))</f>
        <v>337125.00000000006</v>
      </c>
      <c r="E38" s="393">
        <f>(75000*(4.7-0.35))</f>
        <v>326250.00000000006</v>
      </c>
      <c r="F38" s="393">
        <f>(77500*(4.7-0.35))</f>
        <v>337125.00000000006</v>
      </c>
      <c r="G38" s="393">
        <f>(75000*4.005)+(75000*4.105)+(90000*(4.7-0.35))+(75000*(3.57-0.35))+(75000*(3.55-0.35))</f>
        <v>1481250</v>
      </c>
      <c r="H38" s="393">
        <f>(77500*4.005)+(77500*4.105)+(108500*(4.7-0.35))+(77500*(3.57-0.35))+(77500*(3.55-0.35))</f>
        <v>1598050</v>
      </c>
      <c r="I38" s="393">
        <f>(77500*3.105)+(77500*3.255)+(77500*4.005)+(77500*4.105)+(108500*(4.7-0.35))+(77500*(3.57-0.35))+(77500*(3.55-0.35))</f>
        <v>2090950</v>
      </c>
      <c r="J38" s="393">
        <f>(72500*3.105)+(72500*3.255)+(72500*4.005)+(72500*4.105)+(101500*(4.7-0.35))+(72500*(3.57-0.35))+(72500*(3.55-0.35))</f>
        <v>1956050</v>
      </c>
      <c r="K38" s="393">
        <f>(77500*3.105)+(77500*3.255)+(77500*4.005)+(77500*4.105)+(93000*(4.7-0.35))+(77500*(3.57-0.35))+(77500*(3.55-0.35))</f>
        <v>2023525</v>
      </c>
      <c r="L38" s="393">
        <f>(75000*3.155)+(75000*(4.7-0.35))+(75000*(3.64-0.35))</f>
        <v>809625</v>
      </c>
      <c r="M38" s="393">
        <f>(77500*3.155)+(93000*2.645)+(77500*(3.64-0.35))</f>
        <v>745472.5</v>
      </c>
      <c r="N38" s="393">
        <f>(75000*3.155)+(90000*2.645)+(75000*(3.64-0.35))</f>
        <v>721425</v>
      </c>
      <c r="O38" s="32">
        <f>SUM(C38:N38)</f>
        <v>12763972.5</v>
      </c>
      <c r="P38" s="6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6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</row>
    <row r="39" spans="1:45" s="112" customFormat="1">
      <c r="A39" s="6" t="s">
        <v>748</v>
      </c>
      <c r="B39" s="108" t="s">
        <v>47</v>
      </c>
      <c r="C39" s="107">
        <v>-225742</v>
      </c>
      <c r="D39" s="107">
        <v>-241862</v>
      </c>
      <c r="E39" s="107">
        <v>-171660</v>
      </c>
      <c r="F39" s="107"/>
      <c r="G39" s="39"/>
      <c r="H39" s="286"/>
      <c r="I39" s="163"/>
      <c r="J39" s="101"/>
      <c r="K39" s="101">
        <v>-229921</v>
      </c>
      <c r="L39" s="39"/>
      <c r="M39" s="107">
        <v>-192820</v>
      </c>
      <c r="N39" s="107">
        <v>-217680</v>
      </c>
      <c r="O39" s="108">
        <f>SUM(C39:N39)</f>
        <v>-1279685</v>
      </c>
      <c r="P39" s="6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6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</row>
    <row r="40" spans="1:45" s="112" customFormat="1">
      <c r="A40" s="6" t="s">
        <v>748</v>
      </c>
      <c r="B40" s="10" t="s">
        <v>48</v>
      </c>
      <c r="C40" s="81">
        <v>4.3049999999999997</v>
      </c>
      <c r="D40" s="81">
        <v>4.3250000000000002</v>
      </c>
      <c r="E40" s="81">
        <v>3.8149999999999999</v>
      </c>
      <c r="F40" s="81"/>
      <c r="G40" s="39"/>
      <c r="H40" s="286"/>
      <c r="I40" s="163"/>
      <c r="J40" s="101"/>
      <c r="K40" s="29">
        <f>K41/K39</f>
        <v>2.7408636227225873</v>
      </c>
      <c r="L40" s="39"/>
      <c r="M40" s="81">
        <v>1.9850000000000001</v>
      </c>
      <c r="N40" s="81">
        <v>2.3650000000000002</v>
      </c>
      <c r="O40" s="16">
        <f>O41/O39</f>
        <v>3.2824471373814652</v>
      </c>
      <c r="P40" s="6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6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</row>
    <row r="41" spans="1:45" s="112" customFormat="1">
      <c r="A41" s="6" t="s">
        <v>748</v>
      </c>
      <c r="B41" s="30" t="s">
        <v>49</v>
      </c>
      <c r="C41" s="66">
        <f>C39*C40</f>
        <v>-971819.30999999994</v>
      </c>
      <c r="D41" s="66">
        <f>D39*D40</f>
        <v>-1046053.15</v>
      </c>
      <c r="E41" s="66">
        <f>E39*E40</f>
        <v>-654882.9</v>
      </c>
      <c r="F41" s="66"/>
      <c r="G41" s="39"/>
      <c r="H41" s="286"/>
      <c r="J41" s="301"/>
      <c r="K41" s="301">
        <f>(-125395*2.405)+(-77500*3.105)+(-27026*3.255)</f>
        <v>-630182.10499999998</v>
      </c>
      <c r="L41" s="39"/>
      <c r="M41" s="66">
        <f>M39*M40</f>
        <v>-382747.7</v>
      </c>
      <c r="N41" s="66">
        <f>N39*N40</f>
        <v>-514813.20000000007</v>
      </c>
      <c r="O41" s="30">
        <f>SUM(C41:N41)</f>
        <v>-4200498.3650000002</v>
      </c>
      <c r="P41" s="6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6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</row>
    <row r="42" spans="1:45" s="31" customFormat="1">
      <c r="A42" s="111" t="s">
        <v>268</v>
      </c>
      <c r="B42" s="22" t="s">
        <v>47</v>
      </c>
      <c r="C42" s="39"/>
      <c r="D42" s="117"/>
      <c r="E42" s="28"/>
      <c r="F42" s="28"/>
      <c r="G42" s="28"/>
      <c r="H42" s="28"/>
      <c r="I42" s="362"/>
      <c r="J42" s="117"/>
      <c r="K42" s="28"/>
      <c r="L42" s="117"/>
      <c r="M42" s="117"/>
      <c r="N42" s="117"/>
      <c r="O42" s="22">
        <f>SUM(C42:N42)</f>
        <v>0</v>
      </c>
      <c r="P42" s="111"/>
      <c r="Q42" s="22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22"/>
      <c r="AE42" s="111"/>
      <c r="AF42" s="22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  <c r="AR42" s="117"/>
      <c r="AS42" s="22"/>
    </row>
    <row r="43" spans="1:45" s="112" customFormat="1">
      <c r="A43" s="111" t="s">
        <v>268</v>
      </c>
      <c r="B43" s="32" t="s">
        <v>48</v>
      </c>
      <c r="C43" s="116"/>
      <c r="D43" s="116"/>
      <c r="E43" s="39"/>
      <c r="F43" s="39"/>
      <c r="G43" s="39"/>
      <c r="H43" s="17"/>
      <c r="I43" s="163"/>
      <c r="J43" s="118"/>
      <c r="K43" s="28"/>
      <c r="L43" s="17"/>
      <c r="M43" s="116"/>
      <c r="N43" s="116"/>
      <c r="O43" s="16" t="e">
        <f>O44/O42</f>
        <v>#DIV/0!</v>
      </c>
      <c r="P43" s="6"/>
      <c r="Q43" s="32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32"/>
      <c r="AE43" s="6"/>
      <c r="AF43" s="32"/>
      <c r="AG43" s="116"/>
      <c r="AH43" s="116"/>
      <c r="AI43" s="116"/>
      <c r="AJ43" s="116"/>
      <c r="AK43" s="116"/>
      <c r="AL43" s="116"/>
      <c r="AM43" s="116"/>
      <c r="AN43" s="116"/>
      <c r="AO43" s="116"/>
      <c r="AP43" s="116"/>
      <c r="AQ43" s="116"/>
      <c r="AR43" s="116"/>
      <c r="AS43" s="32"/>
    </row>
    <row r="44" spans="1:45" s="112" customFormat="1">
      <c r="A44" s="111" t="s">
        <v>268</v>
      </c>
      <c r="B44" s="32" t="s">
        <v>49</v>
      </c>
      <c r="C44" s="116"/>
      <c r="D44" s="116"/>
      <c r="E44" s="39"/>
      <c r="F44" s="39"/>
      <c r="G44" s="39"/>
      <c r="H44" s="39"/>
      <c r="I44" s="39"/>
      <c r="J44" s="17"/>
      <c r="K44" s="28"/>
      <c r="L44" s="116"/>
      <c r="M44" s="116"/>
      <c r="N44" s="116"/>
      <c r="O44" s="32">
        <f>SUM(C44:N44)</f>
        <v>0</v>
      </c>
      <c r="P44" s="6"/>
      <c r="Q44" s="32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32"/>
      <c r="AE44" s="6"/>
      <c r="AF44" s="32"/>
      <c r="AG44" s="116"/>
      <c r="AH44" s="116"/>
      <c r="AI44" s="116"/>
      <c r="AJ44" s="116"/>
      <c r="AK44" s="116"/>
      <c r="AL44" s="116"/>
      <c r="AM44" s="116"/>
      <c r="AN44" s="116"/>
      <c r="AO44" s="116"/>
      <c r="AP44" s="116"/>
      <c r="AQ44" s="116"/>
      <c r="AR44" s="116"/>
      <c r="AS44" s="32"/>
    </row>
    <row r="45" spans="1:45" s="31" customFormat="1">
      <c r="A45" s="111" t="s">
        <v>269</v>
      </c>
      <c r="B45" s="22" t="s">
        <v>47</v>
      </c>
      <c r="C45" s="28"/>
      <c r="D45" s="28"/>
      <c r="E45" s="28"/>
      <c r="F45" s="28"/>
      <c r="G45" s="28"/>
      <c r="H45" s="28"/>
      <c r="I45" s="117"/>
      <c r="J45" s="28"/>
      <c r="K45" s="28"/>
      <c r="L45" s="28"/>
      <c r="M45" s="28"/>
      <c r="N45" s="28"/>
      <c r="O45" s="22">
        <f>SUM(C45:N45)</f>
        <v>0</v>
      </c>
      <c r="P45" s="111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111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</row>
    <row r="46" spans="1:45" s="99" customFormat="1">
      <c r="A46" s="111" t="s">
        <v>269</v>
      </c>
      <c r="B46" s="16" t="s">
        <v>48</v>
      </c>
      <c r="C46" s="17"/>
      <c r="D46" s="17"/>
      <c r="E46" s="17"/>
      <c r="F46" s="17"/>
      <c r="G46" s="17"/>
      <c r="H46" s="17"/>
      <c r="I46" s="17"/>
      <c r="J46" s="17"/>
      <c r="K46" s="28"/>
      <c r="L46" s="17"/>
      <c r="M46" s="17"/>
      <c r="N46" s="17"/>
      <c r="O46" s="16" t="e">
        <f>O47/O45</f>
        <v>#DIV/0!</v>
      </c>
      <c r="P46" s="7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7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</row>
    <row r="47" spans="1:45" s="112" customFormat="1">
      <c r="A47" s="111" t="s">
        <v>269</v>
      </c>
      <c r="B47" s="32" t="s">
        <v>49</v>
      </c>
      <c r="C47" s="39"/>
      <c r="D47" s="39"/>
      <c r="E47" s="39"/>
      <c r="F47" s="39"/>
      <c r="G47" s="345"/>
      <c r="H47" s="39"/>
      <c r="I47" s="39"/>
      <c r="J47" s="39"/>
      <c r="K47" s="39"/>
      <c r="L47" s="39"/>
      <c r="M47" s="39"/>
      <c r="N47" s="39"/>
      <c r="O47" s="32">
        <f>SUM(C47:N47)</f>
        <v>0</v>
      </c>
      <c r="P47" s="6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6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</row>
    <row r="48" spans="1:45" s="105" customFormat="1">
      <c r="A48" s="119" t="s">
        <v>750</v>
      </c>
      <c r="B48" s="108" t="s">
        <v>47</v>
      </c>
      <c r="C48" s="107"/>
      <c r="D48" s="107"/>
      <c r="E48" s="107"/>
      <c r="F48" s="283"/>
      <c r="G48" s="283"/>
      <c r="H48" s="283"/>
      <c r="I48" s="283"/>
      <c r="J48" s="283"/>
      <c r="K48" s="368"/>
      <c r="L48" s="283"/>
      <c r="M48" s="107"/>
      <c r="N48" s="107"/>
      <c r="O48" s="108">
        <f>SUM(C48:N48)</f>
        <v>0</v>
      </c>
      <c r="P48" s="119"/>
      <c r="Q48" s="108"/>
      <c r="R48" s="108"/>
      <c r="S48" s="108"/>
      <c r="T48" s="108"/>
      <c r="U48" s="120"/>
      <c r="V48" s="120"/>
      <c r="W48" s="120"/>
      <c r="X48" s="120"/>
      <c r="Y48" s="120"/>
      <c r="Z48" s="120"/>
      <c r="AA48" s="120"/>
      <c r="AB48" s="108"/>
      <c r="AC48" s="108"/>
      <c r="AD48" s="108"/>
      <c r="AE48" s="119"/>
      <c r="AF48" s="108"/>
      <c r="AG48" s="108"/>
      <c r="AH48" s="108"/>
      <c r="AI48" s="108"/>
      <c r="AJ48" s="120"/>
      <c r="AK48" s="120"/>
      <c r="AL48" s="120"/>
      <c r="AM48" s="120"/>
      <c r="AN48" s="120"/>
      <c r="AO48" s="120"/>
      <c r="AP48" s="120"/>
      <c r="AQ48" s="108"/>
      <c r="AR48" s="108"/>
      <c r="AS48" s="108"/>
    </row>
    <row r="49" spans="1:45">
      <c r="A49" s="119" t="s">
        <v>750</v>
      </c>
      <c r="B49" s="10" t="s">
        <v>48</v>
      </c>
      <c r="C49" s="17"/>
      <c r="D49" s="17"/>
      <c r="E49" s="17"/>
      <c r="F49" s="81"/>
      <c r="G49" s="17"/>
      <c r="H49" s="17"/>
      <c r="I49" s="287"/>
      <c r="J49" s="23"/>
      <c r="K49" s="369"/>
      <c r="L49" s="18"/>
      <c r="M49" s="24"/>
      <c r="N49" s="17"/>
      <c r="O49" s="16" t="e">
        <f>O50/O48</f>
        <v>#DIV/0!</v>
      </c>
      <c r="P49" s="4"/>
      <c r="Q49" s="10"/>
      <c r="R49" s="16"/>
      <c r="S49" s="16"/>
      <c r="T49" s="10"/>
      <c r="U49" s="19"/>
      <c r="V49" s="19"/>
      <c r="W49" s="19"/>
      <c r="X49" s="19"/>
      <c r="Y49" s="19"/>
      <c r="Z49" s="19"/>
      <c r="AA49" s="19"/>
      <c r="AB49" s="10"/>
      <c r="AC49" s="10"/>
      <c r="AD49" s="25"/>
      <c r="AE49" s="4"/>
      <c r="AF49" s="10"/>
      <c r="AG49" s="16"/>
      <c r="AH49" s="16"/>
      <c r="AI49" s="10"/>
      <c r="AJ49" s="19"/>
      <c r="AK49" s="19"/>
      <c r="AL49" s="19"/>
      <c r="AM49" s="19"/>
      <c r="AN49" s="19"/>
      <c r="AO49" s="19"/>
      <c r="AP49" s="19"/>
      <c r="AQ49" s="10"/>
      <c r="AR49" s="10"/>
      <c r="AS49" s="25"/>
    </row>
    <row r="50" spans="1:45" s="110" customFormat="1">
      <c r="A50" s="119" t="s">
        <v>750</v>
      </c>
      <c r="B50" s="30" t="s">
        <v>49</v>
      </c>
      <c r="C50" s="66"/>
      <c r="D50" s="66"/>
      <c r="E50" s="66"/>
      <c r="F50" s="365"/>
      <c r="G50" s="284"/>
      <c r="H50" s="284"/>
      <c r="I50" s="284"/>
      <c r="J50" s="284"/>
      <c r="K50" s="369"/>
      <c r="L50" s="284"/>
      <c r="M50" s="66"/>
      <c r="N50" s="66"/>
      <c r="O50" s="30">
        <f>SUM(C50:N50)</f>
        <v>0</v>
      </c>
      <c r="P50" s="121"/>
      <c r="Q50" s="30"/>
      <c r="R50" s="30"/>
      <c r="S50" s="30"/>
      <c r="T50" s="30"/>
      <c r="U50" s="38"/>
      <c r="V50" s="38"/>
      <c r="W50" s="38"/>
      <c r="X50" s="38"/>
      <c r="Y50" s="38"/>
      <c r="Z50" s="38"/>
      <c r="AA50" s="38"/>
      <c r="AB50" s="30"/>
      <c r="AC50" s="30"/>
      <c r="AD50" s="30"/>
      <c r="AE50" s="121"/>
      <c r="AF50" s="30"/>
      <c r="AG50" s="30"/>
      <c r="AH50" s="30"/>
      <c r="AI50" s="30"/>
      <c r="AJ50" s="38"/>
      <c r="AK50" s="38"/>
      <c r="AL50" s="38"/>
      <c r="AM50" s="38"/>
      <c r="AN50" s="38"/>
      <c r="AO50" s="38"/>
      <c r="AP50" s="38"/>
      <c r="AQ50" s="30"/>
      <c r="AR50" s="30"/>
      <c r="AS50" s="30"/>
    </row>
    <row r="51" spans="1:45" s="110" customFormat="1">
      <c r="A51" s="121" t="s">
        <v>271</v>
      </c>
      <c r="B51" s="22" t="s">
        <v>47</v>
      </c>
      <c r="C51" s="66"/>
      <c r="D51" s="66"/>
      <c r="E51" s="66"/>
      <c r="F51" s="365"/>
      <c r="G51" s="284"/>
      <c r="H51" s="284"/>
      <c r="I51" s="284"/>
      <c r="J51" s="283"/>
      <c r="K51" s="284"/>
      <c r="L51" s="284"/>
      <c r="M51" s="66"/>
      <c r="N51" s="66"/>
      <c r="O51" s="30"/>
      <c r="P51" s="121"/>
      <c r="Q51" s="30"/>
      <c r="R51" s="30"/>
      <c r="S51" s="30"/>
      <c r="T51" s="30"/>
      <c r="U51" s="38"/>
      <c r="V51" s="38"/>
      <c r="W51" s="38"/>
      <c r="X51" s="38"/>
      <c r="Y51" s="38"/>
      <c r="Z51" s="38"/>
      <c r="AA51" s="38"/>
      <c r="AB51" s="30"/>
      <c r="AC51" s="30"/>
      <c r="AD51" s="30"/>
      <c r="AE51" s="121"/>
      <c r="AF51" s="30"/>
      <c r="AG51" s="30"/>
      <c r="AH51" s="30"/>
      <c r="AI51" s="30"/>
      <c r="AJ51" s="38"/>
      <c r="AK51" s="38"/>
      <c r="AL51" s="38"/>
      <c r="AM51" s="38"/>
      <c r="AN51" s="38"/>
      <c r="AO51" s="38"/>
      <c r="AP51" s="38"/>
      <c r="AQ51" s="30"/>
      <c r="AR51" s="30"/>
      <c r="AS51" s="30"/>
    </row>
    <row r="52" spans="1:45" s="110" customFormat="1">
      <c r="A52" s="121" t="s">
        <v>271</v>
      </c>
      <c r="B52" s="16" t="s">
        <v>48</v>
      </c>
      <c r="C52" s="66"/>
      <c r="D52" s="66"/>
      <c r="E52" s="66"/>
      <c r="F52" s="284"/>
      <c r="G52" s="284"/>
      <c r="H52" s="284"/>
      <c r="I52" s="284"/>
      <c r="J52" s="287"/>
      <c r="K52" s="287"/>
      <c r="L52" s="284"/>
      <c r="M52" s="66"/>
      <c r="N52" s="66"/>
      <c r="O52" s="30"/>
      <c r="P52" s="121"/>
      <c r="Q52" s="30"/>
      <c r="R52" s="30"/>
      <c r="S52" s="30"/>
      <c r="T52" s="30"/>
      <c r="U52" s="38"/>
      <c r="V52" s="38"/>
      <c r="W52" s="38"/>
      <c r="X52" s="38"/>
      <c r="Y52" s="38"/>
      <c r="Z52" s="38"/>
      <c r="AA52" s="38"/>
      <c r="AB52" s="30"/>
      <c r="AC52" s="30"/>
      <c r="AD52" s="30"/>
      <c r="AE52" s="121"/>
      <c r="AF52" s="30"/>
      <c r="AG52" s="30"/>
      <c r="AH52" s="30"/>
      <c r="AI52" s="30"/>
      <c r="AJ52" s="38"/>
      <c r="AK52" s="38"/>
      <c r="AL52" s="38"/>
      <c r="AM52" s="38"/>
      <c r="AN52" s="38"/>
      <c r="AO52" s="38"/>
      <c r="AP52" s="38"/>
      <c r="AQ52" s="30"/>
      <c r="AR52" s="30"/>
      <c r="AS52" s="30"/>
    </row>
    <row r="53" spans="1:45" s="110" customFormat="1">
      <c r="A53" s="121" t="s">
        <v>271</v>
      </c>
      <c r="B53" s="32" t="s">
        <v>49</v>
      </c>
      <c r="C53" s="66"/>
      <c r="D53" s="66"/>
      <c r="E53" s="66"/>
      <c r="F53" s="284"/>
      <c r="G53" s="284"/>
      <c r="H53" s="284"/>
      <c r="I53" s="284"/>
      <c r="J53" s="284"/>
      <c r="K53" s="369"/>
      <c r="L53" s="284"/>
      <c r="M53" s="66"/>
      <c r="N53" s="66"/>
      <c r="O53" s="30"/>
      <c r="P53" s="121"/>
      <c r="Q53" s="30"/>
      <c r="R53" s="30"/>
      <c r="S53" s="30"/>
      <c r="T53" s="30"/>
      <c r="U53" s="38"/>
      <c r="V53" s="38"/>
      <c r="W53" s="38"/>
      <c r="X53" s="38"/>
      <c r="Y53" s="38"/>
      <c r="Z53" s="38"/>
      <c r="AA53" s="38"/>
      <c r="AB53" s="30"/>
      <c r="AC53" s="30"/>
      <c r="AD53" s="30"/>
      <c r="AE53" s="121"/>
      <c r="AF53" s="30"/>
      <c r="AG53" s="30"/>
      <c r="AH53" s="30"/>
      <c r="AI53" s="30"/>
      <c r="AJ53" s="38"/>
      <c r="AK53" s="38"/>
      <c r="AL53" s="38"/>
      <c r="AM53" s="38"/>
      <c r="AN53" s="38"/>
      <c r="AO53" s="38"/>
      <c r="AP53" s="38"/>
      <c r="AQ53" s="30"/>
      <c r="AR53" s="30"/>
      <c r="AS53" s="30"/>
    </row>
    <row r="54" spans="1:45" s="31" customFormat="1">
      <c r="A54" s="111" t="s">
        <v>189</v>
      </c>
      <c r="B54" s="22" t="s">
        <v>47</v>
      </c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2"/>
      <c r="P54" s="111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111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</row>
    <row r="55" spans="1:45" s="99" customFormat="1">
      <c r="A55" s="7" t="s">
        <v>189</v>
      </c>
      <c r="B55" s="16" t="s">
        <v>48</v>
      </c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6"/>
      <c r="P55" s="7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7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</row>
    <row r="56" spans="1:45" s="112" customFormat="1">
      <c r="A56" s="6" t="s">
        <v>189</v>
      </c>
      <c r="B56" s="32" t="s">
        <v>49</v>
      </c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2"/>
      <c r="P56" s="6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6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</row>
    <row r="57" spans="1:45">
      <c r="A57" s="33" t="s">
        <v>50</v>
      </c>
      <c r="B57" s="97" t="s">
        <v>47</v>
      </c>
      <c r="C57" s="131">
        <f t="shared" ref="C57:H57" si="17">SUM(C30,C33,C36,C39,C42,C45,C48,C54)</f>
        <v>556853</v>
      </c>
      <c r="D57" s="131">
        <f t="shared" si="17"/>
        <v>540733</v>
      </c>
      <c r="E57" s="131">
        <f t="shared" si="17"/>
        <v>522690</v>
      </c>
      <c r="F57" s="131">
        <f t="shared" si="17"/>
        <v>660315</v>
      </c>
      <c r="G57" s="131">
        <f t="shared" si="17"/>
        <v>1160949</v>
      </c>
      <c r="H57" s="131">
        <f t="shared" si="17"/>
        <v>1004261</v>
      </c>
      <c r="I57" s="131">
        <f t="shared" ref="I57:N57" si="18">SUM(I30,I33,I36,I39,I42,I45,I48,I54)</f>
        <v>1076457</v>
      </c>
      <c r="J57" s="131">
        <f t="shared" si="18"/>
        <v>1112757</v>
      </c>
      <c r="K57" s="131">
        <f t="shared" si="18"/>
        <v>634599</v>
      </c>
      <c r="L57" s="131">
        <f t="shared" si="18"/>
        <v>680880</v>
      </c>
      <c r="M57" s="131">
        <f t="shared" si="18"/>
        <v>588256</v>
      </c>
      <c r="N57" s="131">
        <f t="shared" si="18"/>
        <v>550200</v>
      </c>
      <c r="O57" s="59">
        <f>SUM(C57:N57)</f>
        <v>9088950</v>
      </c>
      <c r="P57" s="33"/>
      <c r="Q57" s="97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33"/>
      <c r="AF57" s="97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</row>
    <row r="58" spans="1:45" s="112" customFormat="1">
      <c r="A58" s="123" t="s">
        <v>66</v>
      </c>
      <c r="B58" s="104" t="s">
        <v>49</v>
      </c>
      <c r="C58" s="197">
        <f t="shared" ref="C58:H58" si="19">SUM(C32,C35,C38,C41,C44,C47,C50,C56)</f>
        <v>2304996.1649999996</v>
      </c>
      <c r="D58" s="197">
        <f t="shared" si="19"/>
        <v>2244864.2250000001</v>
      </c>
      <c r="E58" s="197">
        <f t="shared" si="19"/>
        <v>1978242.2665013443</v>
      </c>
      <c r="F58" s="197">
        <f t="shared" si="19"/>
        <v>2457768.1013160674</v>
      </c>
      <c r="G58" s="197">
        <f t="shared" si="19"/>
        <v>4017050.9669462023</v>
      </c>
      <c r="H58" s="197">
        <f t="shared" si="19"/>
        <v>3468338.4296703171</v>
      </c>
      <c r="I58" s="197">
        <f t="shared" ref="I58:N58" si="20">SUM(I32,I35,I38,I41,I44,I47,I50,I56)</f>
        <v>3505716.0213070735</v>
      </c>
      <c r="J58" s="197">
        <f t="shared" si="20"/>
        <v>3395049.6756559098</v>
      </c>
      <c r="K58" s="197">
        <f t="shared" si="20"/>
        <v>2098625.2541554095</v>
      </c>
      <c r="L58" s="197">
        <f t="shared" si="20"/>
        <v>1729847.4</v>
      </c>
      <c r="M58" s="197">
        <f t="shared" si="20"/>
        <v>1325137.1600000001</v>
      </c>
      <c r="N58" s="197">
        <f t="shared" si="20"/>
        <v>1358133</v>
      </c>
      <c r="O58" s="43">
        <f>SUM(C58:N58)</f>
        <v>29883768.665552318</v>
      </c>
      <c r="P58" s="123"/>
      <c r="Q58" s="104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123"/>
      <c r="AF58" s="104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</row>
    <row r="59" spans="1:45" s="99" customFormat="1">
      <c r="A59" s="115" t="s">
        <v>51</v>
      </c>
      <c r="B59" s="98" t="s">
        <v>48</v>
      </c>
      <c r="C59" s="195">
        <f t="shared" ref="C59:L59" si="21">+C58/C57</f>
        <v>4.1393261147915155</v>
      </c>
      <c r="D59" s="195">
        <f t="shared" si="21"/>
        <v>4.1515206673164018</v>
      </c>
      <c r="E59" s="195">
        <f t="shared" si="21"/>
        <v>3.7847333342924951</v>
      </c>
      <c r="F59" s="195">
        <f t="shared" si="21"/>
        <v>3.7221145988143043</v>
      </c>
      <c r="G59" s="195">
        <f t="shared" si="21"/>
        <v>3.4601442155910402</v>
      </c>
      <c r="H59" s="195">
        <f t="shared" si="21"/>
        <v>3.4536225440102895</v>
      </c>
      <c r="I59" s="195">
        <f t="shared" si="21"/>
        <v>3.2567171947482096</v>
      </c>
      <c r="J59" s="195">
        <f t="shared" si="21"/>
        <v>3.0510252244253775</v>
      </c>
      <c r="K59" s="195">
        <f t="shared" si="21"/>
        <v>3.3070100238976261</v>
      </c>
      <c r="L59" s="195">
        <f t="shared" si="21"/>
        <v>2.5406053930207966</v>
      </c>
      <c r="M59" s="195">
        <f t="shared" ref="M59:N59" si="22">+M58/M57</f>
        <v>2.252653878583474</v>
      </c>
      <c r="N59" s="195">
        <f t="shared" si="22"/>
        <v>2.4684351145038166</v>
      </c>
      <c r="O59" s="34">
        <f>+O58/O57</f>
        <v>3.2879231006389427</v>
      </c>
      <c r="P59" s="115"/>
      <c r="Q59" s="98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15"/>
      <c r="AF59" s="98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</row>
    <row r="60" spans="1:45" s="99" customFormat="1">
      <c r="A60" s="115" t="s">
        <v>353</v>
      </c>
      <c r="B60" s="98" t="s">
        <v>47</v>
      </c>
      <c r="C60" s="131">
        <f t="shared" ref="C60:N60" si="23">SUM(C33,C45)</f>
        <v>0</v>
      </c>
      <c r="D60" s="131">
        <f t="shared" si="23"/>
        <v>0</v>
      </c>
      <c r="E60" s="131">
        <f t="shared" si="23"/>
        <v>48000</v>
      </c>
      <c r="F60" s="131">
        <f t="shared" si="23"/>
        <v>104020</v>
      </c>
      <c r="G60" s="131">
        <f t="shared" si="23"/>
        <v>439599</v>
      </c>
      <c r="H60" s="131">
        <f t="shared" si="23"/>
        <v>103866</v>
      </c>
      <c r="I60" s="131">
        <f t="shared" si="23"/>
        <v>176062</v>
      </c>
      <c r="J60" s="131">
        <f t="shared" si="23"/>
        <v>270452</v>
      </c>
      <c r="K60" s="131">
        <f t="shared" si="23"/>
        <v>122225</v>
      </c>
      <c r="L60" s="131">
        <f t="shared" si="23"/>
        <v>0</v>
      </c>
      <c r="M60" s="131">
        <f t="shared" si="23"/>
        <v>0</v>
      </c>
      <c r="N60" s="131">
        <f t="shared" si="23"/>
        <v>0</v>
      </c>
      <c r="O60" s="59">
        <f>SUM(C60:N60)</f>
        <v>1264224</v>
      </c>
      <c r="P60" s="115"/>
      <c r="Q60" s="98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15"/>
      <c r="AF60" s="98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</row>
    <row r="61" spans="1:45" s="112" customFormat="1">
      <c r="A61" s="123" t="s">
        <v>353</v>
      </c>
      <c r="B61" s="281" t="s">
        <v>49</v>
      </c>
      <c r="C61" s="197">
        <f t="shared" ref="C61:K61" si="24">SUM(C35,C47)</f>
        <v>0</v>
      </c>
      <c r="D61" s="197">
        <f t="shared" si="24"/>
        <v>0</v>
      </c>
      <c r="E61" s="197">
        <f t="shared" si="24"/>
        <v>180424.91650134415</v>
      </c>
      <c r="F61" s="197">
        <f t="shared" si="24"/>
        <v>376478.47631606751</v>
      </c>
      <c r="G61" s="197">
        <f t="shared" si="24"/>
        <v>1408973.2169462026</v>
      </c>
      <c r="H61" s="197">
        <f t="shared" si="24"/>
        <v>353976.90467031702</v>
      </c>
      <c r="I61" s="197">
        <f t="shared" si="24"/>
        <v>500710.09630707366</v>
      </c>
      <c r="J61" s="197">
        <f t="shared" si="24"/>
        <v>700121.00065591012</v>
      </c>
      <c r="K61" s="197">
        <f t="shared" si="24"/>
        <v>282962.38415540959</v>
      </c>
      <c r="L61" s="197"/>
      <c r="M61" s="39"/>
      <c r="N61" s="39"/>
      <c r="O61" s="43">
        <f>SUM(C61:N61)</f>
        <v>3803646.9955523247</v>
      </c>
      <c r="P61" s="123"/>
      <c r="Q61" s="104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123"/>
      <c r="AF61" s="104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</row>
    <row r="62" spans="1:45" s="99" customFormat="1">
      <c r="A62" s="115" t="s">
        <v>353</v>
      </c>
      <c r="B62" s="114" t="s">
        <v>48</v>
      </c>
      <c r="C62" s="195"/>
      <c r="D62" s="195"/>
      <c r="E62" s="195">
        <f>E61/E60</f>
        <v>3.7588524271113366</v>
      </c>
      <c r="F62" s="195">
        <f t="shared" ref="F62:K62" si="25">F61/F60</f>
        <v>3.6192893320137234</v>
      </c>
      <c r="G62" s="195">
        <f t="shared" si="25"/>
        <v>3.2051328982691101</v>
      </c>
      <c r="H62" s="195">
        <f t="shared" si="25"/>
        <v>3.408015179850163</v>
      </c>
      <c r="I62" s="195">
        <f t="shared" si="25"/>
        <v>2.8439418858531296</v>
      </c>
      <c r="J62" s="195">
        <f t="shared" si="25"/>
        <v>2.588707055802546</v>
      </c>
      <c r="K62" s="195">
        <f t="shared" si="25"/>
        <v>2.3150941636769038</v>
      </c>
      <c r="L62" s="195"/>
      <c r="M62" s="17"/>
      <c r="N62" s="17"/>
      <c r="O62" s="34">
        <f>O61/O60</f>
        <v>3.008681211203335</v>
      </c>
      <c r="P62" s="115"/>
      <c r="Q62" s="98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15"/>
      <c r="AF62" s="98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</row>
    <row r="63" spans="1:45" s="99" customFormat="1">
      <c r="A63" s="33" t="s">
        <v>592</v>
      </c>
      <c r="B63" s="114" t="s">
        <v>48</v>
      </c>
      <c r="C63" s="204"/>
      <c r="D63" s="204"/>
      <c r="E63" s="204"/>
      <c r="F63" s="204">
        <f t="shared" ref="F63:K63" si="26">F62-F31</f>
        <v>-2.3531969378312922E-2</v>
      </c>
      <c r="G63" s="204">
        <f t="shared" si="26"/>
        <v>-0.19558462097036466</v>
      </c>
      <c r="H63" s="204">
        <f t="shared" si="26"/>
        <v>0.26145519271603668</v>
      </c>
      <c r="I63" s="204">
        <f t="shared" si="26"/>
        <v>4.776597309827002E-2</v>
      </c>
      <c r="J63" s="204">
        <f t="shared" si="26"/>
        <v>0.17253114304768591</v>
      </c>
      <c r="K63" s="204">
        <f t="shared" si="26"/>
        <v>2.3550849967904686E-2</v>
      </c>
      <c r="L63" s="204"/>
      <c r="M63" s="17"/>
      <c r="N63" s="17"/>
      <c r="O63" s="204">
        <f>O62-O31</f>
        <v>-0.1151574970704119</v>
      </c>
      <c r="P63" s="115"/>
      <c r="Q63" s="98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15"/>
      <c r="AF63" s="98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</row>
    <row r="64" spans="1:45" s="110" customFormat="1">
      <c r="A64" s="233" t="s">
        <v>592</v>
      </c>
      <c r="B64" s="282" t="s">
        <v>49</v>
      </c>
      <c r="C64" s="190"/>
      <c r="D64" s="190"/>
      <c r="E64" s="190"/>
      <c r="F64" s="190">
        <f t="shared" ref="F64:K64" si="27">F60*F63</f>
        <v>-2447.7954547321101</v>
      </c>
      <c r="G64" s="190">
        <f t="shared" si="27"/>
        <v>-85978.803793951331</v>
      </c>
      <c r="H64" s="190">
        <f t="shared" si="27"/>
        <v>27156.305046643865</v>
      </c>
      <c r="I64" s="190">
        <f t="shared" si="27"/>
        <v>8409.7727556276168</v>
      </c>
      <c r="J64" s="190">
        <f t="shared" si="27"/>
        <v>46661.392699532749</v>
      </c>
      <c r="K64" s="190">
        <f t="shared" si="27"/>
        <v>2878.5026373271503</v>
      </c>
      <c r="L64" s="190"/>
      <c r="M64" s="66"/>
      <c r="N64" s="66"/>
      <c r="O64" s="169">
        <f>SUM(C64:N64)</f>
        <v>-3320.626109552064</v>
      </c>
      <c r="P64" s="233"/>
      <c r="Q64" s="109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233"/>
      <c r="AF64" s="109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</row>
    <row r="65" spans="1:45">
      <c r="A65" s="115" t="s">
        <v>354</v>
      </c>
      <c r="B65" s="97"/>
      <c r="C65" s="140"/>
      <c r="D65" s="140"/>
      <c r="E65" s="140"/>
      <c r="F65" s="140">
        <f t="shared" ref="F65:K65" si="28">F60/F57</f>
        <v>0.15753087541552138</v>
      </c>
      <c r="G65" s="140">
        <f t="shared" si="28"/>
        <v>0.37865487631239614</v>
      </c>
      <c r="H65" s="140">
        <f t="shared" si="28"/>
        <v>0.10342530477634798</v>
      </c>
      <c r="I65" s="140">
        <f t="shared" si="28"/>
        <v>0.16355692795903598</v>
      </c>
      <c r="J65" s="140">
        <f t="shared" si="28"/>
        <v>0.24304677481247028</v>
      </c>
      <c r="K65" s="140">
        <f t="shared" si="28"/>
        <v>0.19260194232893529</v>
      </c>
      <c r="L65" s="140"/>
      <c r="M65" s="24"/>
      <c r="N65" s="24"/>
      <c r="O65" s="140">
        <f>O60/O57</f>
        <v>0.13909461488950869</v>
      </c>
      <c r="P65" s="33"/>
      <c r="Q65" s="97"/>
      <c r="R65" s="122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22"/>
      <c r="AE65" s="33"/>
      <c r="AF65" s="97"/>
      <c r="AG65" s="122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22"/>
    </row>
    <row r="66" spans="1:45">
      <c r="F66" s="24"/>
      <c r="G66" s="24"/>
      <c r="H66" s="24"/>
      <c r="I66" s="24"/>
      <c r="J66" s="24"/>
      <c r="K66" s="22"/>
      <c r="L66" s="28"/>
      <c r="M66" s="24"/>
      <c r="N66" s="24"/>
      <c r="O66" s="22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22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22"/>
    </row>
    <row r="67" spans="1:45" s="31" customFormat="1">
      <c r="A67" s="111" t="s">
        <v>275</v>
      </c>
      <c r="B67" s="22" t="s">
        <v>47</v>
      </c>
      <c r="C67" s="394">
        <v>54994</v>
      </c>
      <c r="D67" s="394">
        <v>54995</v>
      </c>
      <c r="E67" s="394">
        <v>53220</v>
      </c>
      <c r="F67" s="394">
        <v>54994</v>
      </c>
      <c r="G67" s="394">
        <v>53220</v>
      </c>
      <c r="H67" s="394">
        <v>54994</v>
      </c>
      <c r="I67" s="394">
        <v>54995</v>
      </c>
      <c r="J67" s="394">
        <v>51446</v>
      </c>
      <c r="K67" s="394">
        <v>54969</v>
      </c>
      <c r="L67" s="394">
        <v>53040</v>
      </c>
      <c r="M67" s="394">
        <v>54808</v>
      </c>
      <c r="N67" s="394">
        <v>53040</v>
      </c>
      <c r="O67" s="22">
        <f>SUM(C67:N67)</f>
        <v>648715</v>
      </c>
      <c r="P67" s="111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111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</row>
    <row r="68" spans="1:45" s="99" customFormat="1">
      <c r="A68" s="7" t="s">
        <v>275</v>
      </c>
      <c r="B68" s="16" t="s">
        <v>48</v>
      </c>
      <c r="C68" s="410">
        <v>4.3600000000000003</v>
      </c>
      <c r="D68" s="410">
        <v>4.34</v>
      </c>
      <c r="E68" s="410">
        <v>3.84</v>
      </c>
      <c r="F68" s="410">
        <v>3.72</v>
      </c>
      <c r="G68" s="410">
        <v>3.44</v>
      </c>
      <c r="H68" s="410">
        <v>3.3</v>
      </c>
      <c r="I68" s="410">
        <v>3.05</v>
      </c>
      <c r="J68" s="410">
        <v>2.64</v>
      </c>
      <c r="K68" s="410">
        <v>2.4</v>
      </c>
      <c r="L68" s="410">
        <v>2.12</v>
      </c>
      <c r="M68" s="410">
        <v>1.98</v>
      </c>
      <c r="N68" s="410">
        <v>2.36</v>
      </c>
      <c r="O68" s="16">
        <f>O69/O67</f>
        <v>3.1347640335124054</v>
      </c>
      <c r="P68" s="7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7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</row>
    <row r="69" spans="1:45" s="112" customFormat="1">
      <c r="A69" s="111" t="s">
        <v>275</v>
      </c>
      <c r="B69" s="32" t="s">
        <v>49</v>
      </c>
      <c r="C69" s="393">
        <f t="shared" ref="C69:H69" si="29">C67*C68</f>
        <v>239773.84000000003</v>
      </c>
      <c r="D69" s="393">
        <f t="shared" si="29"/>
        <v>238678.3</v>
      </c>
      <c r="E69" s="393">
        <f t="shared" si="29"/>
        <v>204364.79999999999</v>
      </c>
      <c r="F69" s="393">
        <f t="shared" si="29"/>
        <v>204577.68000000002</v>
      </c>
      <c r="G69" s="393">
        <f t="shared" si="29"/>
        <v>183076.8</v>
      </c>
      <c r="H69" s="393">
        <f t="shared" si="29"/>
        <v>181480.19999999998</v>
      </c>
      <c r="I69" s="393">
        <f t="shared" ref="I69:N69" si="30">I67*I68</f>
        <v>167734.75</v>
      </c>
      <c r="J69" s="393">
        <f t="shared" si="30"/>
        <v>135817.44</v>
      </c>
      <c r="K69" s="393">
        <f t="shared" si="30"/>
        <v>131925.6</v>
      </c>
      <c r="L69" s="393">
        <f t="shared" si="30"/>
        <v>112444.8</v>
      </c>
      <c r="M69" s="393">
        <f t="shared" si="30"/>
        <v>108519.84</v>
      </c>
      <c r="N69" s="393">
        <f t="shared" si="30"/>
        <v>125174.39999999999</v>
      </c>
      <c r="O69" s="32">
        <f>SUM(C69:N69)</f>
        <v>2033568.45</v>
      </c>
      <c r="P69" s="6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6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</row>
    <row r="70" spans="1:45" s="105" customFormat="1">
      <c r="A70" s="119" t="s">
        <v>276</v>
      </c>
      <c r="B70" s="108" t="s">
        <v>47</v>
      </c>
      <c r="C70" s="413">
        <v>80693</v>
      </c>
      <c r="D70" s="413">
        <v>80694</v>
      </c>
      <c r="E70" s="413">
        <v>78090</v>
      </c>
      <c r="F70" s="413">
        <v>80693</v>
      </c>
      <c r="G70" s="413">
        <v>78090</v>
      </c>
      <c r="H70" s="413">
        <v>80693</v>
      </c>
      <c r="I70" s="413">
        <v>80694</v>
      </c>
      <c r="J70" s="413">
        <v>75487</v>
      </c>
      <c r="K70" s="413">
        <v>80693</v>
      </c>
      <c r="L70" s="413">
        <v>77850</v>
      </c>
      <c r="M70" s="413">
        <v>80445</v>
      </c>
      <c r="N70" s="413">
        <v>77850</v>
      </c>
      <c r="O70" s="108"/>
      <c r="P70" s="119"/>
      <c r="Q70" s="108"/>
      <c r="R70" s="108"/>
      <c r="S70" s="108"/>
      <c r="T70" s="108"/>
      <c r="U70" s="108"/>
      <c r="V70" s="108"/>
      <c r="W70" s="108"/>
      <c r="X70" s="108"/>
      <c r="Y70" s="108"/>
      <c r="Z70" s="108"/>
      <c r="AA70" s="108"/>
      <c r="AB70" s="108"/>
      <c r="AC70" s="108"/>
      <c r="AD70" s="108"/>
      <c r="AE70" s="119"/>
      <c r="AF70" s="108"/>
      <c r="AG70" s="108"/>
      <c r="AH70" s="108"/>
      <c r="AI70" s="108"/>
      <c r="AJ70" s="108"/>
      <c r="AK70" s="108"/>
      <c r="AL70" s="108"/>
      <c r="AM70" s="108"/>
      <c r="AN70" s="108"/>
      <c r="AO70" s="108"/>
      <c r="AP70" s="108"/>
      <c r="AQ70" s="108"/>
      <c r="AR70" s="108"/>
      <c r="AS70" s="108"/>
    </row>
    <row r="71" spans="1:45" s="99" customFormat="1">
      <c r="A71" s="7" t="s">
        <v>276</v>
      </c>
      <c r="B71" s="16" t="s">
        <v>48</v>
      </c>
      <c r="C71" s="410">
        <v>4.3600000000000003</v>
      </c>
      <c r="D71" s="410">
        <v>4.3600000000000003</v>
      </c>
      <c r="E71" s="410">
        <v>3.85</v>
      </c>
      <c r="F71" s="410">
        <v>3.74</v>
      </c>
      <c r="G71" s="410">
        <v>3.47</v>
      </c>
      <c r="H71" s="410">
        <v>3.33</v>
      </c>
      <c r="I71" s="410">
        <v>3.07</v>
      </c>
      <c r="J71" s="410">
        <v>2.69</v>
      </c>
      <c r="K71" s="410">
        <v>2.44</v>
      </c>
      <c r="L71" s="410">
        <v>2.15</v>
      </c>
      <c r="M71" s="410">
        <v>2.02</v>
      </c>
      <c r="N71" s="410">
        <v>2.42</v>
      </c>
      <c r="O71" s="16"/>
      <c r="P71" s="7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7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</row>
    <row r="72" spans="1:45" s="112" customFormat="1">
      <c r="A72" s="111" t="s">
        <v>276</v>
      </c>
      <c r="B72" s="32" t="s">
        <v>49</v>
      </c>
      <c r="C72" s="393">
        <f t="shared" ref="C72:H72" si="31">C70*C71</f>
        <v>351821.48000000004</v>
      </c>
      <c r="D72" s="393">
        <f t="shared" si="31"/>
        <v>351825.84</v>
      </c>
      <c r="E72" s="393">
        <f t="shared" si="31"/>
        <v>300646.5</v>
      </c>
      <c r="F72" s="393">
        <f t="shared" si="31"/>
        <v>301791.82</v>
      </c>
      <c r="G72" s="393">
        <f t="shared" si="31"/>
        <v>270972.3</v>
      </c>
      <c r="H72" s="393">
        <f t="shared" si="31"/>
        <v>268707.69</v>
      </c>
      <c r="I72" s="393">
        <f t="shared" ref="I72:N72" si="32">I70*I71</f>
        <v>247730.58</v>
      </c>
      <c r="J72" s="393">
        <f t="shared" si="32"/>
        <v>203060.03</v>
      </c>
      <c r="K72" s="393">
        <f t="shared" si="32"/>
        <v>196890.91999999998</v>
      </c>
      <c r="L72" s="393">
        <f t="shared" si="32"/>
        <v>167377.5</v>
      </c>
      <c r="M72" s="393">
        <f t="shared" si="32"/>
        <v>162498.9</v>
      </c>
      <c r="N72" s="393">
        <f t="shared" si="32"/>
        <v>188397</v>
      </c>
      <c r="O72" s="32"/>
      <c r="P72" s="6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6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</row>
    <row r="73" spans="1:45" s="31" customFormat="1">
      <c r="A73" s="111" t="s">
        <v>277</v>
      </c>
      <c r="B73" s="22" t="s">
        <v>47</v>
      </c>
      <c r="C73" s="394">
        <v>186403</v>
      </c>
      <c r="D73" s="394">
        <v>186404</v>
      </c>
      <c r="E73" s="394">
        <v>180390</v>
      </c>
      <c r="F73" s="394">
        <v>186403</v>
      </c>
      <c r="G73" s="394">
        <f>(180629-240)</f>
        <v>180389</v>
      </c>
      <c r="H73" s="394">
        <f>(186651-248)</f>
        <v>186403</v>
      </c>
      <c r="I73" s="394">
        <f>(186651-248)</f>
        <v>186403</v>
      </c>
      <c r="J73" s="394">
        <f>(174609-232)</f>
        <v>174377</v>
      </c>
      <c r="K73" s="394">
        <f>186064-248</f>
        <v>185816</v>
      </c>
      <c r="L73" s="394">
        <v>179880</v>
      </c>
      <c r="M73" s="394">
        <f>186124-248</f>
        <v>185876</v>
      </c>
      <c r="N73" s="394">
        <v>179880</v>
      </c>
      <c r="O73" s="22">
        <f>SUM(C73:N73)</f>
        <v>2198624</v>
      </c>
      <c r="P73" s="111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111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</row>
    <row r="74" spans="1:45" s="99" customFormat="1">
      <c r="A74" s="7" t="s">
        <v>277</v>
      </c>
      <c r="B74" s="16" t="s">
        <v>48</v>
      </c>
      <c r="C74" s="410">
        <v>4.38</v>
      </c>
      <c r="D74" s="410">
        <v>4.3899999999999997</v>
      </c>
      <c r="E74" s="410">
        <v>3.88</v>
      </c>
      <c r="F74" s="410">
        <v>3.74</v>
      </c>
      <c r="G74" s="410">
        <f>G75/G73</f>
        <v>3.514131682087045</v>
      </c>
      <c r="H74" s="410">
        <v>3.37</v>
      </c>
      <c r="I74" s="410">
        <v>3.1</v>
      </c>
      <c r="J74" s="410">
        <v>2.71</v>
      </c>
      <c r="K74" s="410">
        <v>2.4500000000000002</v>
      </c>
      <c r="L74" s="410">
        <v>2.17</v>
      </c>
      <c r="M74" s="410">
        <v>2.04</v>
      </c>
      <c r="N74" s="410">
        <v>2.42</v>
      </c>
      <c r="O74" s="16">
        <f>O75/O73</f>
        <v>3.1858127356019037</v>
      </c>
      <c r="P74" s="7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7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</row>
    <row r="75" spans="1:45" s="112" customFormat="1">
      <c r="A75" s="111" t="s">
        <v>277</v>
      </c>
      <c r="B75" s="32" t="s">
        <v>49</v>
      </c>
      <c r="C75" s="393">
        <f>C73*C74</f>
        <v>816445.14</v>
      </c>
      <c r="D75" s="393">
        <f>D73*D74</f>
        <v>818313.55999999994</v>
      </c>
      <c r="E75" s="393">
        <f>E73*E74</f>
        <v>699913.2</v>
      </c>
      <c r="F75" s="393">
        <f>F73*F74</f>
        <v>697147.22000000009</v>
      </c>
      <c r="G75" s="393">
        <f>((180629-240)*3.5)+2549.2</f>
        <v>633910.69999999995</v>
      </c>
      <c r="H75" s="393">
        <f t="shared" ref="H75:N75" si="33">H73*H74</f>
        <v>628178.11</v>
      </c>
      <c r="I75" s="393">
        <f t="shared" si="33"/>
        <v>577849.30000000005</v>
      </c>
      <c r="J75" s="393">
        <f t="shared" si="33"/>
        <v>472561.67</v>
      </c>
      <c r="K75" s="393">
        <f t="shared" si="33"/>
        <v>455249.2</v>
      </c>
      <c r="L75" s="393">
        <f t="shared" si="33"/>
        <v>390339.6</v>
      </c>
      <c r="M75" s="393">
        <f t="shared" si="33"/>
        <v>379187.04</v>
      </c>
      <c r="N75" s="393">
        <f t="shared" si="33"/>
        <v>435309.6</v>
      </c>
      <c r="O75" s="32">
        <f>SUM(C75:N75)</f>
        <v>7004404.3399999999</v>
      </c>
      <c r="P75" s="6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6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</row>
    <row r="76" spans="1:45" s="112" customFormat="1">
      <c r="A76" s="111" t="s">
        <v>977</v>
      </c>
      <c r="B76" s="22" t="s">
        <v>47</v>
      </c>
      <c r="C76" s="393"/>
      <c r="D76" s="393"/>
      <c r="E76" s="393"/>
      <c r="F76" s="393"/>
      <c r="G76" s="393"/>
      <c r="H76" s="393"/>
      <c r="I76" s="393"/>
      <c r="J76" s="393"/>
      <c r="K76" s="393"/>
      <c r="L76" s="393"/>
      <c r="M76" s="394">
        <v>19327</v>
      </c>
      <c r="N76" s="39"/>
      <c r="O76" s="32"/>
      <c r="P76" s="6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6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</row>
    <row r="77" spans="1:45" s="112" customFormat="1">
      <c r="A77" s="111" t="s">
        <v>977</v>
      </c>
      <c r="B77" s="16" t="s">
        <v>48</v>
      </c>
      <c r="C77" s="393"/>
      <c r="D77" s="393"/>
      <c r="E77" s="393"/>
      <c r="F77" s="393"/>
      <c r="G77" s="393"/>
      <c r="H77" s="393"/>
      <c r="I77" s="393"/>
      <c r="J77" s="393"/>
      <c r="K77" s="393"/>
      <c r="L77" s="393"/>
      <c r="M77" s="410">
        <f>M78/M76</f>
        <v>2.4318181818181817</v>
      </c>
      <c r="N77" s="39"/>
      <c r="O77" s="32"/>
      <c r="P77" s="6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6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</row>
    <row r="78" spans="1:45" s="112" customFormat="1">
      <c r="A78" s="111" t="s">
        <v>977</v>
      </c>
      <c r="B78" s="32" t="s">
        <v>49</v>
      </c>
      <c r="C78" s="393"/>
      <c r="D78" s="393"/>
      <c r="E78" s="393"/>
      <c r="F78" s="393"/>
      <c r="G78" s="393"/>
      <c r="H78" s="393"/>
      <c r="I78" s="393"/>
      <c r="J78" s="393"/>
      <c r="K78" s="393"/>
      <c r="L78" s="393"/>
      <c r="M78" s="393">
        <v>46999.75</v>
      </c>
      <c r="N78" s="39"/>
      <c r="O78" s="32"/>
      <c r="P78" s="6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6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</row>
    <row r="79" spans="1:45" s="31" customFormat="1">
      <c r="A79" s="111" t="s">
        <v>190</v>
      </c>
      <c r="B79" s="22" t="s">
        <v>47</v>
      </c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2">
        <f>SUM(C79:N79)</f>
        <v>0</v>
      </c>
      <c r="P79" s="111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111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</row>
    <row r="80" spans="1:45" s="99" customFormat="1">
      <c r="A80" s="111" t="s">
        <v>190</v>
      </c>
      <c r="B80" s="16" t="s">
        <v>48</v>
      </c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6" t="e">
        <f>O81/O79</f>
        <v>#DIV/0!</v>
      </c>
      <c r="P80" s="7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7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</row>
    <row r="81" spans="1:45" s="112" customFormat="1">
      <c r="A81" s="111" t="s">
        <v>190</v>
      </c>
      <c r="B81" s="32" t="s">
        <v>49</v>
      </c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2">
        <f>SUM(C81:N81)</f>
        <v>0</v>
      </c>
      <c r="P81" s="6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6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</row>
    <row r="82" spans="1:45" s="31" customFormat="1">
      <c r="A82" s="111" t="s">
        <v>249</v>
      </c>
      <c r="B82" s="22" t="s">
        <v>47</v>
      </c>
      <c r="C82" s="28"/>
      <c r="D82" s="28"/>
      <c r="E82" s="107"/>
      <c r="F82" s="28"/>
      <c r="G82" s="28"/>
      <c r="H82" s="28"/>
      <c r="I82" s="28"/>
      <c r="J82" s="28"/>
      <c r="K82" s="107">
        <v>-36078</v>
      </c>
      <c r="L82" s="28"/>
      <c r="M82" s="107">
        <v>-19448</v>
      </c>
      <c r="N82" s="28"/>
      <c r="O82" s="108">
        <f>SUM(C82:N82)</f>
        <v>-55526</v>
      </c>
      <c r="P82" s="111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111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</row>
    <row r="83" spans="1:45" s="112" customFormat="1">
      <c r="A83" s="111" t="s">
        <v>249</v>
      </c>
      <c r="B83" s="16" t="s">
        <v>48</v>
      </c>
      <c r="C83" s="39"/>
      <c r="D83" s="39"/>
      <c r="E83" s="17"/>
      <c r="F83" s="39"/>
      <c r="G83" s="39"/>
      <c r="H83" s="39"/>
      <c r="I83" s="39"/>
      <c r="J83" s="39"/>
      <c r="K83" s="17">
        <v>2.4500000000000002</v>
      </c>
      <c r="L83" s="17"/>
      <c r="M83" s="17">
        <f>M84/M82</f>
        <v>1.9918181818181822</v>
      </c>
      <c r="N83" s="39"/>
      <c r="O83" s="16">
        <f>O84/O82</f>
        <v>2.2895216655260602</v>
      </c>
      <c r="P83" s="6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6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</row>
    <row r="84" spans="1:45" s="112" customFormat="1">
      <c r="A84" s="111" t="s">
        <v>249</v>
      </c>
      <c r="B84" s="32" t="s">
        <v>49</v>
      </c>
      <c r="C84" s="39"/>
      <c r="D84" s="39"/>
      <c r="E84" s="66"/>
      <c r="F84" s="39"/>
      <c r="G84" s="39"/>
      <c r="H84" s="39"/>
      <c r="I84" s="39"/>
      <c r="J84" s="39"/>
      <c r="K84" s="66">
        <f>K82*K83</f>
        <v>-88391.1</v>
      </c>
      <c r="L84" s="66"/>
      <c r="M84" s="66">
        <v>-38736.880000000005</v>
      </c>
      <c r="N84" s="39"/>
      <c r="O84" s="30">
        <f>SUM(C84:N84)</f>
        <v>-127127.98000000001</v>
      </c>
      <c r="P84" s="6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6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</row>
    <row r="85" spans="1:45">
      <c r="A85" s="33" t="s">
        <v>52</v>
      </c>
      <c r="B85" s="97" t="s">
        <v>47</v>
      </c>
      <c r="C85" s="131">
        <f t="shared" ref="C85:H85" si="34">SUM(C67,C70,C73,C79,C82)</f>
        <v>322090</v>
      </c>
      <c r="D85" s="131">
        <f t="shared" si="34"/>
        <v>322093</v>
      </c>
      <c r="E85" s="131">
        <f t="shared" si="34"/>
        <v>311700</v>
      </c>
      <c r="F85" s="131">
        <f t="shared" si="34"/>
        <v>322090</v>
      </c>
      <c r="G85" s="131">
        <f t="shared" si="34"/>
        <v>311699</v>
      </c>
      <c r="H85" s="131">
        <f t="shared" si="34"/>
        <v>322090</v>
      </c>
      <c r="I85" s="131">
        <f>SUM(I67,I70,I73,I79,I82)</f>
        <v>322092</v>
      </c>
      <c r="J85" s="131">
        <f>SUM(J67,J70,J73,J79,J82)</f>
        <v>301310</v>
      </c>
      <c r="K85" s="131">
        <f>SUM(K67,K70,K73,K79,K82)</f>
        <v>285400</v>
      </c>
      <c r="L85" s="131">
        <f>SUM(L67,L70,L73,L79,L82)</f>
        <v>310770</v>
      </c>
      <c r="M85" s="131">
        <f>SUM(M67,M70,M73,M76,M79,M82)</f>
        <v>321008</v>
      </c>
      <c r="N85" s="131">
        <f>SUM(N67,N70,N73,N76,N79,N82)</f>
        <v>310770</v>
      </c>
      <c r="O85" s="22">
        <f>SUM(C85:N85)</f>
        <v>3763112</v>
      </c>
      <c r="P85" s="33"/>
      <c r="Q85" s="97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33"/>
      <c r="AF85" s="97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</row>
    <row r="86" spans="1:45">
      <c r="A86" s="33" t="s">
        <v>52</v>
      </c>
      <c r="B86" s="97" t="s">
        <v>49</v>
      </c>
      <c r="C86" s="199">
        <f t="shared" ref="C86:H86" si="35">SUM(C69,C72,C75,C81,C84)</f>
        <v>1408040.46</v>
      </c>
      <c r="D86" s="199">
        <f t="shared" si="35"/>
        <v>1408817.7</v>
      </c>
      <c r="E86" s="199">
        <f t="shared" si="35"/>
        <v>1204924.5</v>
      </c>
      <c r="F86" s="199">
        <f t="shared" si="35"/>
        <v>1203516.7200000002</v>
      </c>
      <c r="G86" s="199">
        <f t="shared" si="35"/>
        <v>1087959.7999999998</v>
      </c>
      <c r="H86" s="199">
        <f t="shared" si="35"/>
        <v>1078366</v>
      </c>
      <c r="I86" s="199">
        <f>SUM(I69,I72,I75,I81,I84)</f>
        <v>993314.63</v>
      </c>
      <c r="J86" s="199">
        <f>SUM(J69,J72,J75,J81,J84)</f>
        <v>811439.1399999999</v>
      </c>
      <c r="K86" s="199">
        <f>SUM(K69,K72,K75,K81,K84)</f>
        <v>695674.62</v>
      </c>
      <c r="L86" s="199">
        <f>SUM(L69,L72,L75,L81,L84)</f>
        <v>670161.89999999991</v>
      </c>
      <c r="M86" s="199">
        <f>SUM(M69,M72,M75,M78,M81,M84)</f>
        <v>658468.65</v>
      </c>
      <c r="N86" s="199">
        <f>SUM(N69,N72,N75,N78,N81,N84)</f>
        <v>748881</v>
      </c>
      <c r="O86" s="25">
        <f>SUM(C86:N86)</f>
        <v>11969565.120000001</v>
      </c>
      <c r="P86" s="33"/>
      <c r="Q86" s="97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33"/>
      <c r="AF86" s="97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</row>
    <row r="87" spans="1:45">
      <c r="A87" s="33" t="s">
        <v>53</v>
      </c>
      <c r="B87" s="97" t="s">
        <v>48</v>
      </c>
      <c r="C87" s="200">
        <f t="shared" ref="C87:O87" si="36">+C86/C85</f>
        <v>4.3715745909528394</v>
      </c>
      <c r="D87" s="200">
        <f t="shared" si="36"/>
        <v>4.3739469656279395</v>
      </c>
      <c r="E87" s="200">
        <f t="shared" si="36"/>
        <v>3.8656544754571702</v>
      </c>
      <c r="F87" s="200">
        <f t="shared" si="36"/>
        <v>3.7365851780558237</v>
      </c>
      <c r="G87" s="200">
        <f t="shared" si="36"/>
        <v>3.4904179994161026</v>
      </c>
      <c r="H87" s="200">
        <f t="shared" si="36"/>
        <v>3.3480269489894128</v>
      </c>
      <c r="I87" s="200">
        <f t="shared" si="36"/>
        <v>3.0839469157880357</v>
      </c>
      <c r="J87" s="200">
        <f t="shared" si="36"/>
        <v>2.6930375360923962</v>
      </c>
      <c r="K87" s="200">
        <f t="shared" si="36"/>
        <v>2.4375424667133849</v>
      </c>
      <c r="L87" s="200">
        <f t="shared" si="36"/>
        <v>2.1564562216430154</v>
      </c>
      <c r="M87" s="200">
        <f t="shared" ref="M87:N87" si="37">+M86/M85</f>
        <v>2.0512530840352889</v>
      </c>
      <c r="N87" s="200">
        <f t="shared" si="37"/>
        <v>2.4097596293078483</v>
      </c>
      <c r="O87" s="122">
        <f t="shared" si="36"/>
        <v>3.1807623902769837</v>
      </c>
      <c r="P87" s="33"/>
      <c r="Q87" s="97"/>
      <c r="R87" s="122"/>
      <c r="S87" s="122"/>
      <c r="T87" s="122"/>
      <c r="U87" s="122"/>
      <c r="V87" s="122"/>
      <c r="W87" s="122"/>
      <c r="X87" s="122"/>
      <c r="Y87" s="122"/>
      <c r="Z87" s="122"/>
      <c r="AA87" s="122"/>
      <c r="AB87" s="122"/>
      <c r="AC87" s="122"/>
      <c r="AD87" s="122"/>
      <c r="AE87" s="33"/>
      <c r="AF87" s="97"/>
      <c r="AG87" s="122"/>
      <c r="AH87" s="122"/>
      <c r="AI87" s="122"/>
      <c r="AJ87" s="122"/>
      <c r="AK87" s="122"/>
      <c r="AL87" s="122"/>
      <c r="AM87" s="122"/>
      <c r="AN87" s="122"/>
      <c r="AO87" s="122"/>
      <c r="AP87" s="122"/>
      <c r="AQ87" s="122"/>
      <c r="AR87" s="122"/>
      <c r="AS87" s="122"/>
    </row>
    <row r="88" spans="1:45" s="31" customFormat="1">
      <c r="A88" s="125" t="s">
        <v>68</v>
      </c>
      <c r="B88" s="100" t="s">
        <v>47</v>
      </c>
      <c r="C88" s="28">
        <f t="shared" ref="C88:H88" si="38">SUM(C57,C85)</f>
        <v>878943</v>
      </c>
      <c r="D88" s="28">
        <f t="shared" si="38"/>
        <v>862826</v>
      </c>
      <c r="E88" s="28">
        <f t="shared" si="38"/>
        <v>834390</v>
      </c>
      <c r="F88" s="22">
        <f t="shared" si="38"/>
        <v>982405</v>
      </c>
      <c r="G88" s="22">
        <f t="shared" si="38"/>
        <v>1472648</v>
      </c>
      <c r="H88" s="22">
        <f t="shared" si="38"/>
        <v>1326351</v>
      </c>
      <c r="I88" s="22">
        <f t="shared" ref="I88:M89" si="39">SUM(I57,I85)</f>
        <v>1398549</v>
      </c>
      <c r="J88" s="22">
        <f t="shared" si="39"/>
        <v>1414067</v>
      </c>
      <c r="K88" s="22">
        <f t="shared" si="39"/>
        <v>919999</v>
      </c>
      <c r="L88" s="22">
        <f t="shared" si="39"/>
        <v>991650</v>
      </c>
      <c r="M88" s="22">
        <f t="shared" si="39"/>
        <v>909264</v>
      </c>
      <c r="N88" s="22">
        <f t="shared" ref="N88" si="40">SUM(N57,N85)</f>
        <v>860970</v>
      </c>
      <c r="O88" s="22">
        <f>SUM(O57,O85)</f>
        <v>12852062</v>
      </c>
      <c r="P88" s="125"/>
      <c r="Q88" s="100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125"/>
      <c r="AF88" s="100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</row>
    <row r="89" spans="1:45" s="112" customFormat="1">
      <c r="A89" s="123" t="s">
        <v>68</v>
      </c>
      <c r="B89" s="104" t="s">
        <v>49</v>
      </c>
      <c r="C89" s="39">
        <f t="shared" ref="C89:H89" si="41">SUM(C58,C86)</f>
        <v>3713036.6249999995</v>
      </c>
      <c r="D89" s="39">
        <f t="shared" si="41"/>
        <v>3653681.9249999998</v>
      </c>
      <c r="E89" s="39">
        <f t="shared" si="41"/>
        <v>3183166.7665013443</v>
      </c>
      <c r="F89" s="32">
        <f t="shared" si="41"/>
        <v>3661284.8213160676</v>
      </c>
      <c r="G89" s="32">
        <f t="shared" si="41"/>
        <v>5105010.7669462021</v>
      </c>
      <c r="H89" s="32">
        <f t="shared" si="41"/>
        <v>4546704.4296703171</v>
      </c>
      <c r="I89" s="32">
        <f t="shared" si="39"/>
        <v>4499030.6513070734</v>
      </c>
      <c r="J89" s="32">
        <f t="shared" si="39"/>
        <v>4206488.8156559095</v>
      </c>
      <c r="K89" s="32">
        <f t="shared" si="39"/>
        <v>2794299.8741554096</v>
      </c>
      <c r="L89" s="32">
        <f t="shared" si="39"/>
        <v>2400009.2999999998</v>
      </c>
      <c r="M89" s="32">
        <f t="shared" si="39"/>
        <v>1983605.81</v>
      </c>
      <c r="N89" s="32">
        <f t="shared" ref="N89" si="42">SUM(N58,N86)</f>
        <v>2107014</v>
      </c>
      <c r="O89" s="32">
        <f>SUM(O58,O86)</f>
        <v>41853333.785552323</v>
      </c>
      <c r="P89" s="123"/>
      <c r="Q89" s="104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123"/>
      <c r="AF89" s="104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</row>
    <row r="90" spans="1:45" s="99" customFormat="1">
      <c r="A90" s="115" t="s">
        <v>68</v>
      </c>
      <c r="B90" s="98" t="s">
        <v>48</v>
      </c>
      <c r="C90" s="17">
        <f t="shared" ref="C90:O90" si="43">C89/C88</f>
        <v>4.2244339223362601</v>
      </c>
      <c r="D90" s="17">
        <f t="shared" si="43"/>
        <v>4.2345524184482155</v>
      </c>
      <c r="E90" s="17">
        <f t="shared" si="43"/>
        <v>3.8149627470383685</v>
      </c>
      <c r="F90" s="16">
        <f t="shared" si="43"/>
        <v>3.7268589037271469</v>
      </c>
      <c r="G90" s="16">
        <f t="shared" si="43"/>
        <v>3.4665519302278631</v>
      </c>
      <c r="H90" s="16">
        <f t="shared" si="43"/>
        <v>3.4279797954465425</v>
      </c>
      <c r="I90" s="16">
        <f t="shared" si="43"/>
        <v>3.2169274378710173</v>
      </c>
      <c r="J90" s="16">
        <f t="shared" si="43"/>
        <v>2.9747450549768217</v>
      </c>
      <c r="K90" s="16">
        <f t="shared" si="43"/>
        <v>3.0372857733056335</v>
      </c>
      <c r="L90" s="16">
        <f t="shared" si="43"/>
        <v>2.420218121312963</v>
      </c>
      <c r="M90" s="16">
        <f t="shared" ref="M90:N90" si="44">M89/M88</f>
        <v>2.1815510236850906</v>
      </c>
      <c r="N90" s="16">
        <f t="shared" si="44"/>
        <v>2.4472560019512875</v>
      </c>
      <c r="O90" s="16">
        <f t="shared" si="43"/>
        <v>3.2565462091260002</v>
      </c>
      <c r="P90" s="115"/>
      <c r="Q90" s="98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15"/>
      <c r="AF90" s="98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</row>
    <row r="91" spans="1:45" s="99" customFormat="1">
      <c r="A91" s="115" t="s">
        <v>108</v>
      </c>
      <c r="B91" s="98" t="s">
        <v>48</v>
      </c>
      <c r="C91" s="17">
        <f t="shared" ref="C91:O91" si="45">C90/0.95+0.05</f>
        <v>4.4967725498276421</v>
      </c>
      <c r="D91" s="17">
        <f t="shared" si="45"/>
        <v>4.5074235983665423</v>
      </c>
      <c r="E91" s="17">
        <f t="shared" si="45"/>
        <v>4.0657502600403879</v>
      </c>
      <c r="F91" s="16">
        <f t="shared" si="45"/>
        <v>3.9730093723443654</v>
      </c>
      <c r="G91" s="16">
        <f t="shared" si="45"/>
        <v>3.6990020318188033</v>
      </c>
      <c r="H91" s="16">
        <f t="shared" si="45"/>
        <v>3.6583997846805709</v>
      </c>
      <c r="I91" s="16">
        <f t="shared" si="45"/>
        <v>3.4362394082852812</v>
      </c>
      <c r="J91" s="16">
        <f t="shared" si="45"/>
        <v>3.1813105841861282</v>
      </c>
      <c r="K91" s="16">
        <f t="shared" si="45"/>
        <v>3.2471429192690877</v>
      </c>
      <c r="L91" s="16">
        <f t="shared" si="45"/>
        <v>2.5975980224346977</v>
      </c>
      <c r="M91" s="16">
        <f t="shared" ref="M91:N91" si="46">M90/0.95+0.05</f>
        <v>2.3463694986158847</v>
      </c>
      <c r="N91" s="16">
        <f t="shared" si="46"/>
        <v>2.6260589494224078</v>
      </c>
      <c r="O91" s="16">
        <f t="shared" si="45"/>
        <v>3.4779433780273687</v>
      </c>
      <c r="P91" s="115"/>
      <c r="Q91" s="98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15"/>
      <c r="AF91" s="98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</row>
    <row r="92" spans="1:45" s="99" customFormat="1">
      <c r="A92" s="115" t="s">
        <v>109</v>
      </c>
      <c r="B92" s="98" t="s">
        <v>104</v>
      </c>
      <c r="C92" s="17">
        <f t="shared" ref="C92:O92" si="47">(C91/1.04)/(1-0.06)</f>
        <v>4.5998082547336763</v>
      </c>
      <c r="D92" s="17">
        <f t="shared" si="47"/>
        <v>4.6107033534845971</v>
      </c>
      <c r="E92" s="17">
        <f t="shared" si="47"/>
        <v>4.158909840466845</v>
      </c>
      <c r="F92" s="16">
        <f t="shared" si="47"/>
        <v>4.0640439569807336</v>
      </c>
      <c r="G92" s="16">
        <f t="shared" si="47"/>
        <v>3.7837582158539314</v>
      </c>
      <c r="H92" s="16">
        <f t="shared" si="47"/>
        <v>3.7422256389940372</v>
      </c>
      <c r="I92" s="16">
        <f t="shared" si="47"/>
        <v>3.5149748448090028</v>
      </c>
      <c r="J92" s="16">
        <f t="shared" si="47"/>
        <v>3.2542047710578239</v>
      </c>
      <c r="K92" s="16">
        <f t="shared" si="47"/>
        <v>3.3215455393505398</v>
      </c>
      <c r="L92" s="16">
        <f t="shared" si="47"/>
        <v>2.6571174533906481</v>
      </c>
      <c r="M92" s="16">
        <f t="shared" ref="M92:N92" si="48">(M91/1.04)/(1-0.06)</f>
        <v>2.400132465850946</v>
      </c>
      <c r="N92" s="16">
        <f t="shared" si="48"/>
        <v>2.6862305129116284</v>
      </c>
      <c r="O92" s="16">
        <f t="shared" si="47"/>
        <v>3.5576343883258685</v>
      </c>
      <c r="P92" s="115"/>
      <c r="Q92" s="98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15"/>
      <c r="AF92" s="98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</row>
    <row r="93" spans="1:45">
      <c r="L93" s="24"/>
      <c r="M93" s="24"/>
      <c r="N93" s="24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</row>
    <row r="94" spans="1:45" s="31" customFormat="1">
      <c r="A94" s="125" t="s">
        <v>388</v>
      </c>
      <c r="B94" s="22" t="s">
        <v>47</v>
      </c>
      <c r="C94" s="28">
        <f t="shared" ref="C94:H94" si="49">SUM(C2,C11,C14,C17,C30,C39,C42,C48,C67,C70,C73,C82)</f>
        <v>1005175</v>
      </c>
      <c r="D94" s="28">
        <f t="shared" si="49"/>
        <v>957159</v>
      </c>
      <c r="E94" s="28">
        <f t="shared" si="49"/>
        <v>877680</v>
      </c>
      <c r="F94" s="28">
        <f t="shared" si="49"/>
        <v>972718</v>
      </c>
      <c r="G94" s="28">
        <f t="shared" si="49"/>
        <v>654929</v>
      </c>
      <c r="H94" s="28">
        <f t="shared" si="49"/>
        <v>816261</v>
      </c>
      <c r="I94" s="28">
        <f t="shared" ref="I94:N94" si="50">SUM(I2,I11,I14,I17,I30,I39,I42,I48,I67,I70,I73,I82)</f>
        <v>738763</v>
      </c>
      <c r="J94" s="28">
        <f t="shared" si="50"/>
        <v>618599</v>
      </c>
      <c r="K94" s="28">
        <f t="shared" si="50"/>
        <v>252050</v>
      </c>
      <c r="L94" s="28">
        <f t="shared" si="50"/>
        <v>778470</v>
      </c>
      <c r="M94" s="28">
        <f t="shared" si="50"/>
        <v>836297</v>
      </c>
      <c r="N94" s="28">
        <f t="shared" si="50"/>
        <v>811890</v>
      </c>
      <c r="O94" s="22">
        <f>SUM(C94:N94)</f>
        <v>9319991</v>
      </c>
      <c r="P94" s="168">
        <f>O94/O112</f>
        <v>0.66322456107941186</v>
      </c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125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</row>
    <row r="95" spans="1:45">
      <c r="A95" s="125" t="s">
        <v>388</v>
      </c>
      <c r="B95" s="32" t="s">
        <v>49</v>
      </c>
      <c r="C95" s="39">
        <f t="shared" ref="C95:H95" si="51">SUM(C4,C13,C16,C19,C32,C41,C44,C50,C69,C72,C75,C84)</f>
        <v>4290991.9449999994</v>
      </c>
      <c r="D95" s="39">
        <f t="shared" si="51"/>
        <v>4088094.2249999996</v>
      </c>
      <c r="E95" s="39">
        <f t="shared" si="51"/>
        <v>3325980.1500000004</v>
      </c>
      <c r="F95" s="39">
        <f t="shared" si="51"/>
        <v>3607888.0350000001</v>
      </c>
      <c r="G95" s="39">
        <f t="shared" si="51"/>
        <v>2256018.35</v>
      </c>
      <c r="H95" s="39">
        <f t="shared" si="51"/>
        <v>2635566.5249999999</v>
      </c>
      <c r="I95" s="39">
        <f t="shared" ref="I95:N95" si="52">SUM(I4,I13,I16,I19,I32,I41,I44,I50,I69,I72,I75,I84)</f>
        <v>2167027.8149999999</v>
      </c>
      <c r="J95" s="39">
        <f t="shared" si="52"/>
        <v>1581214.4149999998</v>
      </c>
      <c r="K95" s="39">
        <f t="shared" si="52"/>
        <v>517768.41000000003</v>
      </c>
      <c r="L95" s="39">
        <f t="shared" si="52"/>
        <v>1615802.1</v>
      </c>
      <c r="M95" s="39">
        <f t="shared" si="52"/>
        <v>1594674.48</v>
      </c>
      <c r="N95" s="39">
        <f t="shared" si="52"/>
        <v>1852988.4</v>
      </c>
      <c r="O95" s="32">
        <f>SUM(C95:N95)</f>
        <v>29534014.850000001</v>
      </c>
      <c r="P95" s="123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123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</row>
    <row r="96" spans="1:45">
      <c r="A96" s="125" t="s">
        <v>388</v>
      </c>
      <c r="B96" s="16" t="s">
        <v>48</v>
      </c>
      <c r="C96" s="17">
        <f t="shared" ref="C96:L96" si="53">C95/C94</f>
        <v>4.2689003855050105</v>
      </c>
      <c r="D96" s="17">
        <f t="shared" si="53"/>
        <v>4.2710711856650772</v>
      </c>
      <c r="E96" s="17">
        <f t="shared" si="53"/>
        <v>3.78951343314192</v>
      </c>
      <c r="F96" s="17">
        <f t="shared" si="53"/>
        <v>3.7090791318758369</v>
      </c>
      <c r="G96" s="17">
        <f t="shared" si="53"/>
        <v>3.4446762168112879</v>
      </c>
      <c r="H96" s="17">
        <f t="shared" si="53"/>
        <v>3.228828187307736</v>
      </c>
      <c r="I96" s="17">
        <f t="shared" si="53"/>
        <v>2.9333193662920314</v>
      </c>
      <c r="J96" s="17">
        <f t="shared" si="53"/>
        <v>2.5561218414514086</v>
      </c>
      <c r="K96" s="17">
        <f t="shared" si="53"/>
        <v>2.0542289625074392</v>
      </c>
      <c r="L96" s="17">
        <f t="shared" si="53"/>
        <v>2.0756125476896989</v>
      </c>
      <c r="M96" s="17">
        <f t="shared" ref="M96:N96" si="54">M95/M94</f>
        <v>1.906827933138586</v>
      </c>
      <c r="N96" s="17">
        <f t="shared" si="54"/>
        <v>2.2823145992683735</v>
      </c>
      <c r="O96" s="16">
        <f>O95/O94</f>
        <v>3.1688887736050391</v>
      </c>
      <c r="P96" s="115"/>
      <c r="Q96" s="16"/>
      <c r="R96" s="16"/>
      <c r="S96" s="16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6"/>
      <c r="AE96" s="115"/>
      <c r="AF96" s="16"/>
      <c r="AG96" s="16"/>
      <c r="AH96" s="16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6"/>
    </row>
    <row r="97" spans="1:105">
      <c r="A97" s="125" t="s">
        <v>387</v>
      </c>
      <c r="B97" s="16" t="s">
        <v>47</v>
      </c>
      <c r="C97" s="128">
        <f t="shared" ref="C97:H97" si="55">C94/C112</f>
        <v>0.92841803865425909</v>
      </c>
      <c r="D97" s="128">
        <f t="shared" si="55"/>
        <v>0.92509609446204011</v>
      </c>
      <c r="E97" s="128">
        <f t="shared" si="55"/>
        <v>0.92127471973800223</v>
      </c>
      <c r="F97" s="128">
        <f t="shared" si="55"/>
        <v>0.84273607349610735</v>
      </c>
      <c r="G97" s="128">
        <f t="shared" si="55"/>
        <v>0.44116985331364583</v>
      </c>
      <c r="H97" s="128">
        <f t="shared" si="55"/>
        <v>0.609774791633517</v>
      </c>
      <c r="I97" s="128">
        <f t="shared" ref="I97:O97" si="56">I94/I112</f>
        <v>0.4963720961483547</v>
      </c>
      <c r="J97" s="128">
        <f t="shared" si="56"/>
        <v>0.43393677251813512</v>
      </c>
      <c r="K97" s="128">
        <f t="shared" si="56"/>
        <v>0.2703601405164785</v>
      </c>
      <c r="L97" s="128">
        <f t="shared" si="56"/>
        <v>0.77577805016592427</v>
      </c>
      <c r="M97" s="128">
        <f t="shared" si="56"/>
        <v>0.75777348082317886</v>
      </c>
      <c r="N97" s="128">
        <f t="shared" si="56"/>
        <v>0.77183926075920484</v>
      </c>
      <c r="O97" s="128">
        <f t="shared" si="56"/>
        <v>0.66322456107941186</v>
      </c>
      <c r="P97" s="115"/>
      <c r="Q97" s="16"/>
      <c r="R97" s="16"/>
      <c r="S97" s="16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6"/>
      <c r="AE97" s="115"/>
      <c r="AF97" s="16"/>
      <c r="AG97" s="16"/>
      <c r="AH97" s="16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6"/>
    </row>
    <row r="98" spans="1:105">
      <c r="A98" s="125" t="s">
        <v>54</v>
      </c>
      <c r="B98" s="22" t="s">
        <v>47</v>
      </c>
      <c r="C98" s="28">
        <f t="shared" ref="C98:H98" si="57">SUM(C8,C36,C79)</f>
        <v>77500</v>
      </c>
      <c r="D98" s="28">
        <f t="shared" si="57"/>
        <v>77500</v>
      </c>
      <c r="E98" s="28">
        <f t="shared" si="57"/>
        <v>75000</v>
      </c>
      <c r="F98" s="28">
        <f t="shared" si="57"/>
        <v>77500</v>
      </c>
      <c r="G98" s="28">
        <f t="shared" si="57"/>
        <v>390000</v>
      </c>
      <c r="H98" s="28">
        <f t="shared" si="57"/>
        <v>418500</v>
      </c>
      <c r="I98" s="28">
        <f t="shared" ref="I98:N98" si="58">SUM(I8,I36,I79)</f>
        <v>573500</v>
      </c>
      <c r="J98" s="28">
        <f t="shared" si="58"/>
        <v>536500</v>
      </c>
      <c r="K98" s="28">
        <f t="shared" si="58"/>
        <v>558000</v>
      </c>
      <c r="L98" s="28">
        <f t="shared" si="58"/>
        <v>225000</v>
      </c>
      <c r="M98" s="28">
        <f t="shared" si="58"/>
        <v>248000</v>
      </c>
      <c r="N98" s="28">
        <f t="shared" si="58"/>
        <v>240000</v>
      </c>
      <c r="O98" s="22">
        <f>SUM(C98:N98)</f>
        <v>3497000</v>
      </c>
      <c r="P98" s="128">
        <f>+O98/O112</f>
        <v>0.24885177357947053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</row>
    <row r="99" spans="1:105" s="112" customFormat="1">
      <c r="A99" s="123" t="s">
        <v>54</v>
      </c>
      <c r="B99" s="32" t="s">
        <v>49</v>
      </c>
      <c r="C99" s="39">
        <f t="shared" ref="C99:H99" si="59">SUM(C10,C38,C81)</f>
        <v>337125.00000000006</v>
      </c>
      <c r="D99" s="39">
        <f t="shared" si="59"/>
        <v>337125.00000000006</v>
      </c>
      <c r="E99" s="39">
        <f t="shared" si="59"/>
        <v>326250.00000000006</v>
      </c>
      <c r="F99" s="39">
        <f t="shared" si="59"/>
        <v>337125.00000000006</v>
      </c>
      <c r="G99" s="39">
        <f t="shared" si="59"/>
        <v>1481250</v>
      </c>
      <c r="H99" s="39">
        <f t="shared" si="59"/>
        <v>1598050</v>
      </c>
      <c r="I99" s="39">
        <f t="shared" ref="I99:N99" si="60">SUM(I10,I38,I81)</f>
        <v>2090950</v>
      </c>
      <c r="J99" s="39">
        <f t="shared" si="60"/>
        <v>1956050</v>
      </c>
      <c r="K99" s="39">
        <f t="shared" si="60"/>
        <v>2023525</v>
      </c>
      <c r="L99" s="39">
        <f t="shared" si="60"/>
        <v>809625</v>
      </c>
      <c r="M99" s="39">
        <f t="shared" si="60"/>
        <v>745472.5</v>
      </c>
      <c r="N99" s="39">
        <f t="shared" si="60"/>
        <v>721425</v>
      </c>
      <c r="O99" s="32">
        <f>SUM(C99:N99)</f>
        <v>12763972.5</v>
      </c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  <c r="AF99" s="39"/>
      <c r="AG99" s="39"/>
      <c r="AH99" s="39"/>
      <c r="AI99" s="39"/>
      <c r="AJ99" s="39"/>
      <c r="AK99" s="39"/>
      <c r="AL99" s="39"/>
      <c r="AM99" s="39"/>
      <c r="AN99" s="39"/>
      <c r="AO99" s="39"/>
      <c r="AP99" s="39"/>
      <c r="AQ99" s="39"/>
      <c r="AR99" s="39"/>
      <c r="AS99" s="39"/>
      <c r="AT99" s="39"/>
      <c r="AU99" s="39"/>
      <c r="AV99" s="39"/>
      <c r="AW99" s="39"/>
      <c r="AX99" s="39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9"/>
      <c r="BJ99" s="39"/>
      <c r="BK99" s="39"/>
      <c r="BL99" s="39"/>
      <c r="BM99" s="39"/>
      <c r="BN99" s="39"/>
      <c r="BO99" s="39"/>
      <c r="BP99" s="39"/>
      <c r="BQ99" s="39"/>
      <c r="BR99" s="39"/>
      <c r="BS99" s="39"/>
      <c r="BT99" s="39"/>
      <c r="BU99" s="39"/>
      <c r="BV99" s="39"/>
      <c r="BW99" s="39"/>
      <c r="BX99" s="39"/>
      <c r="BY99" s="39"/>
      <c r="BZ99" s="39"/>
      <c r="CA99" s="39"/>
      <c r="CB99" s="39"/>
      <c r="CC99" s="39"/>
      <c r="CD99" s="39"/>
      <c r="CE99" s="39"/>
      <c r="CF99" s="39"/>
      <c r="CG99" s="39"/>
      <c r="CH99" s="39"/>
      <c r="CI99" s="39"/>
      <c r="CJ99" s="39"/>
      <c r="CK99" s="39"/>
      <c r="CL99" s="39"/>
      <c r="CM99" s="39"/>
      <c r="CN99" s="39"/>
      <c r="CO99" s="39"/>
      <c r="CP99" s="39"/>
      <c r="CQ99" s="39"/>
      <c r="CR99" s="39"/>
      <c r="CS99" s="39"/>
      <c r="CT99" s="39"/>
      <c r="CU99" s="39"/>
      <c r="CV99" s="39"/>
      <c r="CW99" s="39"/>
      <c r="CX99" s="39"/>
      <c r="CY99" s="39"/>
      <c r="CZ99" s="39"/>
      <c r="DA99" s="39"/>
    </row>
    <row r="100" spans="1:105">
      <c r="A100" s="125" t="s">
        <v>54</v>
      </c>
      <c r="B100" s="16" t="s">
        <v>48</v>
      </c>
      <c r="C100" s="17">
        <f t="shared" ref="C100:L100" si="61">C99/C98</f>
        <v>4.3500000000000005</v>
      </c>
      <c r="D100" s="17">
        <f t="shared" si="61"/>
        <v>4.3500000000000005</v>
      </c>
      <c r="E100" s="17">
        <f t="shared" si="61"/>
        <v>4.3500000000000005</v>
      </c>
      <c r="F100" s="17">
        <f t="shared" si="61"/>
        <v>4.3500000000000005</v>
      </c>
      <c r="G100" s="17">
        <f t="shared" si="61"/>
        <v>3.7980769230769229</v>
      </c>
      <c r="H100" s="17">
        <f t="shared" si="61"/>
        <v>3.8185185185185184</v>
      </c>
      <c r="I100" s="17">
        <f t="shared" si="61"/>
        <v>3.6459459459459458</v>
      </c>
      <c r="J100" s="17">
        <f t="shared" si="61"/>
        <v>3.6459459459459458</v>
      </c>
      <c r="K100" s="17">
        <f t="shared" si="61"/>
        <v>3.6263888888888891</v>
      </c>
      <c r="L100" s="17">
        <f t="shared" si="61"/>
        <v>3.5983333333333332</v>
      </c>
      <c r="M100" s="17">
        <f t="shared" ref="M100:N100" si="62">M99/M98</f>
        <v>3.0059374999999999</v>
      </c>
      <c r="N100" s="17">
        <f t="shared" si="62"/>
        <v>3.0059374999999999</v>
      </c>
      <c r="O100" s="16">
        <f>O99/O98</f>
        <v>3.6499778381469832</v>
      </c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</row>
    <row r="101" spans="1:105">
      <c r="A101" s="125" t="s">
        <v>350</v>
      </c>
      <c r="B101" s="16" t="s">
        <v>47</v>
      </c>
      <c r="C101" s="128">
        <f t="shared" ref="C101:H101" si="63">C98/C112</f>
        <v>7.158196134574088E-2</v>
      </c>
      <c r="D101" s="128">
        <f t="shared" si="63"/>
        <v>7.490390553795985E-2</v>
      </c>
      <c r="E101" s="128">
        <f t="shared" si="63"/>
        <v>7.8725280261997738E-2</v>
      </c>
      <c r="F101" s="128">
        <f t="shared" si="63"/>
        <v>6.7143864610245033E-2</v>
      </c>
      <c r="G101" s="128">
        <f t="shared" si="63"/>
        <v>0.26270976364204651</v>
      </c>
      <c r="H101" s="128">
        <f t="shared" si="63"/>
        <v>0.31263376579136681</v>
      </c>
      <c r="I101" s="128">
        <f t="shared" ref="I101:O101" si="64">I98/I112</f>
        <v>0.38533250466128027</v>
      </c>
      <c r="J101" s="128">
        <f t="shared" si="64"/>
        <v>0.37634570772985321</v>
      </c>
      <c r="K101" s="128">
        <f t="shared" si="64"/>
        <v>0.59853583974685576</v>
      </c>
      <c r="L101" s="128">
        <f t="shared" si="64"/>
        <v>0.22422194983407576</v>
      </c>
      <c r="M101" s="128">
        <f t="shared" si="64"/>
        <v>0.22471421426137889</v>
      </c>
      <c r="N101" s="128">
        <f t="shared" si="64"/>
        <v>0.22816073924079514</v>
      </c>
      <c r="O101" s="128">
        <f t="shared" si="64"/>
        <v>0.24885177357947053</v>
      </c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</row>
    <row r="102" spans="1:105" s="99" customFormat="1">
      <c r="A102" s="126" t="s">
        <v>389</v>
      </c>
      <c r="B102" s="16" t="s">
        <v>47</v>
      </c>
      <c r="C102" s="28"/>
      <c r="D102" s="28"/>
      <c r="E102" s="28"/>
      <c r="F102" s="28">
        <f t="shared" ref="F102:K102" si="65">SUM(F5,F33,F45,F54)</f>
        <v>104020</v>
      </c>
      <c r="G102" s="28">
        <f t="shared" si="65"/>
        <v>439599</v>
      </c>
      <c r="H102" s="28">
        <f t="shared" si="65"/>
        <v>103866</v>
      </c>
      <c r="I102" s="28">
        <f t="shared" si="65"/>
        <v>176062</v>
      </c>
      <c r="J102" s="28">
        <f t="shared" si="65"/>
        <v>270452</v>
      </c>
      <c r="K102" s="28">
        <f t="shared" si="65"/>
        <v>122225</v>
      </c>
      <c r="L102" s="28">
        <f>SUM(L5,L33,L45,L54)</f>
        <v>0</v>
      </c>
      <c r="M102" s="28">
        <f>SUM(M5,M33,M45,M54,M76)</f>
        <v>19327</v>
      </c>
      <c r="N102" s="28">
        <f>SUM(N5,N33,N45,N54,N76)</f>
        <v>0</v>
      </c>
      <c r="O102" s="28">
        <f>SUM(O5,O33,O45)</f>
        <v>1264224</v>
      </c>
      <c r="P102" s="168">
        <f>O102/O112</f>
        <v>8.9964079096863755E-2</v>
      </c>
      <c r="Q102" s="16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126"/>
      <c r="AF102" s="16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</row>
    <row r="103" spans="1:105" s="99" customFormat="1">
      <c r="A103" s="126" t="s">
        <v>824</v>
      </c>
      <c r="B103" s="16" t="s">
        <v>47</v>
      </c>
      <c r="C103" s="28"/>
      <c r="D103" s="28"/>
      <c r="E103" s="28"/>
      <c r="F103" s="28">
        <f t="shared" ref="F103:K103" si="66">F23</f>
        <v>0</v>
      </c>
      <c r="G103" s="28">
        <f t="shared" si="66"/>
        <v>0</v>
      </c>
      <c r="H103" s="28">
        <f t="shared" si="66"/>
        <v>0</v>
      </c>
      <c r="I103" s="28">
        <f t="shared" si="66"/>
        <v>0</v>
      </c>
      <c r="J103" s="28">
        <f t="shared" si="66"/>
        <v>0</v>
      </c>
      <c r="K103" s="28">
        <f t="shared" si="66"/>
        <v>0</v>
      </c>
      <c r="L103" s="28">
        <f>L23</f>
        <v>0</v>
      </c>
      <c r="M103" s="28">
        <f>M23</f>
        <v>0</v>
      </c>
      <c r="N103" s="28">
        <f>N23</f>
        <v>0</v>
      </c>
      <c r="O103" s="28"/>
      <c r="P103" s="127"/>
      <c r="Q103" s="16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126"/>
      <c r="AF103" s="16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</row>
    <row r="104" spans="1:105" s="103" customFormat="1">
      <c r="A104" s="127" t="s">
        <v>826</v>
      </c>
      <c r="B104" s="124" t="s">
        <v>47</v>
      </c>
      <c r="C104" s="128"/>
      <c r="D104" s="128"/>
      <c r="E104" s="128"/>
      <c r="F104" s="128">
        <f t="shared" ref="F104:K104" si="67">F103/F102</f>
        <v>0</v>
      </c>
      <c r="G104" s="128">
        <f t="shared" si="67"/>
        <v>0</v>
      </c>
      <c r="H104" s="128">
        <f t="shared" si="67"/>
        <v>0</v>
      </c>
      <c r="I104" s="128">
        <f t="shared" si="67"/>
        <v>0</v>
      </c>
      <c r="J104" s="128">
        <f t="shared" si="67"/>
        <v>0</v>
      </c>
      <c r="K104" s="128">
        <f t="shared" si="67"/>
        <v>0</v>
      </c>
      <c r="L104" s="128"/>
      <c r="M104" s="128"/>
      <c r="N104" s="128"/>
      <c r="O104" s="128"/>
      <c r="P104" s="127"/>
      <c r="Q104" s="124"/>
      <c r="R104" s="124"/>
      <c r="S104" s="124"/>
      <c r="T104" s="124"/>
      <c r="U104" s="124"/>
      <c r="V104" s="124"/>
      <c r="W104" s="124"/>
      <c r="X104" s="124"/>
      <c r="Y104" s="124"/>
      <c r="Z104" s="124"/>
      <c r="AA104" s="124"/>
      <c r="AB104" s="124"/>
      <c r="AC104" s="124"/>
      <c r="AD104" s="124"/>
      <c r="AE104" s="127"/>
      <c r="AF104" s="124"/>
      <c r="AG104" s="124"/>
      <c r="AH104" s="124"/>
      <c r="AI104" s="124"/>
      <c r="AJ104" s="124"/>
      <c r="AK104" s="124"/>
      <c r="AL104" s="124"/>
      <c r="AM104" s="124"/>
      <c r="AN104" s="124"/>
      <c r="AO104" s="124"/>
      <c r="AP104" s="124"/>
      <c r="AQ104" s="124"/>
      <c r="AR104" s="124"/>
      <c r="AS104" s="124"/>
    </row>
    <row r="105" spans="1:105" s="99" customFormat="1">
      <c r="A105" s="126" t="s">
        <v>825</v>
      </c>
      <c r="B105" s="16" t="s">
        <v>47</v>
      </c>
      <c r="C105" s="28"/>
      <c r="D105" s="28"/>
      <c r="E105" s="28"/>
      <c r="F105" s="28">
        <f t="shared" ref="F105:K105" si="68">F60</f>
        <v>104020</v>
      </c>
      <c r="G105" s="28">
        <f t="shared" si="68"/>
        <v>439599</v>
      </c>
      <c r="H105" s="28">
        <f t="shared" si="68"/>
        <v>103866</v>
      </c>
      <c r="I105" s="28">
        <f t="shared" si="68"/>
        <v>176062</v>
      </c>
      <c r="J105" s="28">
        <f t="shared" si="68"/>
        <v>270452</v>
      </c>
      <c r="K105" s="28">
        <f t="shared" si="68"/>
        <v>122225</v>
      </c>
      <c r="L105" s="28">
        <f>L60</f>
        <v>0</v>
      </c>
      <c r="M105" s="28">
        <f>M60</f>
        <v>0</v>
      </c>
      <c r="N105" s="28">
        <f>N60</f>
        <v>0</v>
      </c>
      <c r="O105" s="28"/>
      <c r="P105" s="127"/>
      <c r="Q105" s="16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126"/>
      <c r="AF105" s="16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</row>
    <row r="106" spans="1:105" s="99" customFormat="1">
      <c r="A106" s="126" t="s">
        <v>827</v>
      </c>
      <c r="B106" s="16" t="s">
        <v>47</v>
      </c>
      <c r="C106" s="128"/>
      <c r="D106" s="128"/>
      <c r="E106" s="128"/>
      <c r="F106" s="128">
        <f t="shared" ref="F106:K106" si="69">F105/F102</f>
        <v>1</v>
      </c>
      <c r="G106" s="128">
        <f t="shared" si="69"/>
        <v>1</v>
      </c>
      <c r="H106" s="128">
        <f t="shared" si="69"/>
        <v>1</v>
      </c>
      <c r="I106" s="128">
        <f t="shared" si="69"/>
        <v>1</v>
      </c>
      <c r="J106" s="128">
        <f t="shared" si="69"/>
        <v>1</v>
      </c>
      <c r="K106" s="128">
        <f t="shared" si="69"/>
        <v>1</v>
      </c>
      <c r="L106" s="128"/>
      <c r="M106" s="28"/>
      <c r="N106" s="28"/>
      <c r="O106" s="28"/>
      <c r="P106" s="127"/>
      <c r="Q106" s="16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126"/>
      <c r="AF106" s="16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</row>
    <row r="107" spans="1:105" s="112" customFormat="1">
      <c r="A107" s="5" t="s">
        <v>389</v>
      </c>
      <c r="B107" s="32" t="s">
        <v>49</v>
      </c>
      <c r="C107" s="39"/>
      <c r="D107" s="39"/>
      <c r="E107" s="39"/>
      <c r="F107" s="39">
        <f t="shared" ref="F107:L107" si="70">SUM(F7,F35,F47,F56)</f>
        <v>376478.47631606751</v>
      </c>
      <c r="G107" s="39">
        <f t="shared" si="70"/>
        <v>1408973.2169462026</v>
      </c>
      <c r="H107" s="39">
        <f t="shared" si="70"/>
        <v>353976.90467031702</v>
      </c>
      <c r="I107" s="39">
        <f t="shared" si="70"/>
        <v>500710.09630707366</v>
      </c>
      <c r="J107" s="39">
        <f t="shared" si="70"/>
        <v>700121.00065591012</v>
      </c>
      <c r="K107" s="39">
        <f t="shared" si="70"/>
        <v>282962.38415540959</v>
      </c>
      <c r="L107" s="39">
        <f t="shared" si="70"/>
        <v>0</v>
      </c>
      <c r="M107" s="39">
        <f>SUM(M7,M35,M47,M56,M78)</f>
        <v>46999.75</v>
      </c>
      <c r="N107" s="39">
        <f>SUM(N7,N35,N47,N56,N78)</f>
        <v>0</v>
      </c>
      <c r="O107" s="32">
        <f>SUM(C107:N107)</f>
        <v>3670221.8290509805</v>
      </c>
      <c r="P107" s="5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5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</row>
    <row r="108" spans="1:105" s="99" customFormat="1">
      <c r="A108" s="126" t="s">
        <v>389</v>
      </c>
      <c r="B108" s="16" t="s">
        <v>48</v>
      </c>
      <c r="C108" s="17"/>
      <c r="D108" s="299"/>
      <c r="E108" s="17"/>
      <c r="F108" s="17">
        <f t="shared" ref="F108:M108" si="71">F107/F102</f>
        <v>3.6192893320137234</v>
      </c>
      <c r="G108" s="17">
        <f t="shared" si="71"/>
        <v>3.2051328982691101</v>
      </c>
      <c r="H108" s="17">
        <f t="shared" si="71"/>
        <v>3.408015179850163</v>
      </c>
      <c r="I108" s="17">
        <f t="shared" si="71"/>
        <v>2.8439418858531296</v>
      </c>
      <c r="J108" s="17">
        <f t="shared" si="71"/>
        <v>2.588707055802546</v>
      </c>
      <c r="K108" s="17">
        <f t="shared" si="71"/>
        <v>2.3150941636769038</v>
      </c>
      <c r="L108" s="17"/>
      <c r="M108" s="17">
        <f t="shared" si="71"/>
        <v>2.4318181818181817</v>
      </c>
      <c r="N108" s="17" t="e">
        <f t="shared" ref="N108" si="72">N107/N102</f>
        <v>#DIV/0!</v>
      </c>
      <c r="O108" s="16"/>
      <c r="P108" s="12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2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</row>
    <row r="109" spans="1:105">
      <c r="A109" s="5" t="s">
        <v>590</v>
      </c>
      <c r="C109" s="128"/>
      <c r="D109" s="128"/>
      <c r="E109" s="128"/>
      <c r="F109" s="128">
        <f t="shared" ref="F109:K109" si="73">F102/F112</f>
        <v>9.0120061893647588E-2</v>
      </c>
      <c r="G109" s="128">
        <f t="shared" si="73"/>
        <v>0.29612038304430771</v>
      </c>
      <c r="H109" s="128">
        <f t="shared" si="73"/>
        <v>7.7591442575116146E-2</v>
      </c>
      <c r="I109" s="128">
        <f t="shared" si="73"/>
        <v>0.11829539919036501</v>
      </c>
      <c r="J109" s="128">
        <f t="shared" si="73"/>
        <v>0.18971751975201168</v>
      </c>
      <c r="K109" s="128">
        <f t="shared" si="73"/>
        <v>0.13110401973666569</v>
      </c>
      <c r="L109" s="128">
        <f>L102/L112</f>
        <v>0</v>
      </c>
      <c r="M109" s="128">
        <f>M102/M112</f>
        <v>1.7512304915442214E-2</v>
      </c>
      <c r="N109" s="128">
        <f>N102/N112</f>
        <v>0</v>
      </c>
      <c r="O109" s="128">
        <f>O102/O112</f>
        <v>8.9964079096863755E-2</v>
      </c>
      <c r="P109" s="33"/>
      <c r="R109" s="124"/>
      <c r="S109" s="124"/>
      <c r="T109" s="124"/>
      <c r="U109" s="124"/>
      <c r="V109" s="124"/>
      <c r="W109" s="124"/>
      <c r="X109" s="124"/>
      <c r="Y109" s="124"/>
      <c r="Z109" s="124"/>
      <c r="AA109" s="124"/>
      <c r="AB109" s="124"/>
      <c r="AC109" s="124"/>
      <c r="AD109" s="10"/>
      <c r="AE109" s="33"/>
      <c r="AG109" s="124"/>
      <c r="AH109" s="124"/>
      <c r="AI109" s="124"/>
      <c r="AJ109" s="124"/>
      <c r="AK109" s="124"/>
      <c r="AL109" s="124"/>
      <c r="AM109" s="124"/>
      <c r="AN109" s="124"/>
      <c r="AO109" s="124"/>
      <c r="AP109" s="124"/>
      <c r="AQ109" s="124"/>
      <c r="AR109" s="124"/>
      <c r="AS109" s="10"/>
    </row>
    <row r="110" spans="1:105">
      <c r="A110" s="125" t="s">
        <v>614</v>
      </c>
      <c r="B110" s="16" t="s">
        <v>48</v>
      </c>
      <c r="C110" s="228"/>
      <c r="D110" s="128"/>
      <c r="E110" s="228"/>
      <c r="F110" s="228">
        <f t="shared" ref="F110:K110" si="74">F108-F96</f>
        <v>-8.9789799862113551E-2</v>
      </c>
      <c r="G110" s="228">
        <f t="shared" si="74"/>
        <v>-0.23954331854217781</v>
      </c>
      <c r="H110" s="228">
        <f t="shared" si="74"/>
        <v>0.17918699254242698</v>
      </c>
      <c r="I110" s="228">
        <f t="shared" si="74"/>
        <v>-8.9377480438901813E-2</v>
      </c>
      <c r="J110" s="228">
        <f t="shared" si="74"/>
        <v>3.258521435113737E-2</v>
      </c>
      <c r="K110" s="228">
        <f t="shared" si="74"/>
        <v>0.26086520116946454</v>
      </c>
      <c r="L110" s="228"/>
      <c r="M110" s="128"/>
      <c r="N110" s="128"/>
      <c r="O110" s="16"/>
      <c r="P110" s="115"/>
      <c r="Q110" s="16"/>
      <c r="R110" s="16"/>
      <c r="S110" s="16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6"/>
      <c r="AE110" s="115"/>
      <c r="AF110" s="16"/>
      <c r="AG110" s="16"/>
      <c r="AH110" s="16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6"/>
    </row>
    <row r="111" spans="1:105">
      <c r="A111" s="125" t="s">
        <v>615</v>
      </c>
      <c r="B111" s="16" t="s">
        <v>49</v>
      </c>
      <c r="C111" s="66"/>
      <c r="D111" s="128"/>
      <c r="E111" s="66"/>
      <c r="F111" s="66">
        <f t="shared" ref="F111:K111" si="75">F102*F110</f>
        <v>-9339.934981657052</v>
      </c>
      <c r="G111" s="66">
        <f t="shared" si="75"/>
        <v>-105303.00328782282</v>
      </c>
      <c r="H111" s="66">
        <f t="shared" si="75"/>
        <v>18611.436167411721</v>
      </c>
      <c r="I111" s="66">
        <f t="shared" si="75"/>
        <v>-15735.97796103393</v>
      </c>
      <c r="J111" s="66">
        <f t="shared" si="75"/>
        <v>8812.7363916938048</v>
      </c>
      <c r="K111" s="66">
        <f t="shared" si="75"/>
        <v>31884.249212937804</v>
      </c>
      <c r="L111" s="66"/>
      <c r="M111" s="128"/>
      <c r="N111" s="128"/>
      <c r="O111" s="32">
        <f>SUM(C111:N111)</f>
        <v>-71070.494458470464</v>
      </c>
      <c r="P111" s="115"/>
      <c r="Q111" s="16"/>
      <c r="R111" s="16"/>
      <c r="S111" s="16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6"/>
      <c r="AE111" s="115"/>
      <c r="AF111" s="16"/>
      <c r="AG111" s="16"/>
      <c r="AH111" s="16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6"/>
    </row>
    <row r="112" spans="1:105">
      <c r="A112" s="2" t="s">
        <v>262</v>
      </c>
      <c r="B112" s="10" t="s">
        <v>47</v>
      </c>
      <c r="C112" s="28">
        <f t="shared" ref="C112:H112" si="76">SUM(C94,C98,C102)</f>
        <v>1082675</v>
      </c>
      <c r="D112" s="28">
        <f t="shared" si="76"/>
        <v>1034659</v>
      </c>
      <c r="E112" s="28">
        <f t="shared" si="76"/>
        <v>952680</v>
      </c>
      <c r="F112" s="28">
        <f t="shared" si="76"/>
        <v>1154238</v>
      </c>
      <c r="G112" s="28">
        <f t="shared" si="76"/>
        <v>1484528</v>
      </c>
      <c r="H112" s="28">
        <f t="shared" si="76"/>
        <v>1338627</v>
      </c>
      <c r="I112" s="28">
        <f t="shared" ref="I112:N112" si="77">SUM(I94,I98,I102)</f>
        <v>1488325</v>
      </c>
      <c r="J112" s="28">
        <f t="shared" si="77"/>
        <v>1425551</v>
      </c>
      <c r="K112" s="28">
        <f t="shared" si="77"/>
        <v>932275</v>
      </c>
      <c r="L112" s="28">
        <f t="shared" si="77"/>
        <v>1003470</v>
      </c>
      <c r="M112" s="28">
        <f t="shared" si="77"/>
        <v>1103624</v>
      </c>
      <c r="N112" s="28">
        <f t="shared" si="77"/>
        <v>1051890</v>
      </c>
      <c r="O112" s="22">
        <f>SUM(C112:N112)</f>
        <v>14052542</v>
      </c>
      <c r="P112" s="2"/>
      <c r="Q112" s="10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"/>
      <c r="AF112" s="10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</row>
    <row r="113" spans="1:45" s="112" customFormat="1">
      <c r="A113" s="2" t="s">
        <v>262</v>
      </c>
      <c r="B113" s="32" t="s">
        <v>49</v>
      </c>
      <c r="C113" s="39">
        <f t="shared" ref="C113:H113" si="78">SUM(C95,C99,C107)</f>
        <v>4628116.9449999994</v>
      </c>
      <c r="D113" s="39">
        <f t="shared" si="78"/>
        <v>4425219.2249999996</v>
      </c>
      <c r="E113" s="39">
        <f t="shared" si="78"/>
        <v>3652230.1500000004</v>
      </c>
      <c r="F113" s="39">
        <f t="shared" si="78"/>
        <v>4321491.5113160675</v>
      </c>
      <c r="G113" s="39">
        <f t="shared" si="78"/>
        <v>5146241.5669462029</v>
      </c>
      <c r="H113" s="39">
        <f t="shared" si="78"/>
        <v>4587593.4296703171</v>
      </c>
      <c r="I113" s="39">
        <f t="shared" ref="I113:N113" si="79">SUM(I95,I99,I107)</f>
        <v>4758687.9113070732</v>
      </c>
      <c r="J113" s="39">
        <f t="shared" si="79"/>
        <v>4237385.41565591</v>
      </c>
      <c r="K113" s="39">
        <f t="shared" si="79"/>
        <v>2824255.7941554096</v>
      </c>
      <c r="L113" s="39">
        <f t="shared" si="79"/>
        <v>2425427.1</v>
      </c>
      <c r="M113" s="39">
        <f t="shared" si="79"/>
        <v>2387146.73</v>
      </c>
      <c r="N113" s="39">
        <f t="shared" si="79"/>
        <v>2574413.4</v>
      </c>
      <c r="O113" s="32">
        <f>SUM(C113:N113)</f>
        <v>45968209.179050982</v>
      </c>
      <c r="P113" s="5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5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</row>
    <row r="114" spans="1:45">
      <c r="A114" s="2" t="s">
        <v>262</v>
      </c>
      <c r="B114" s="10" t="s">
        <v>48</v>
      </c>
      <c r="C114" s="17">
        <f t="shared" ref="C114:L114" si="80">C113/C112</f>
        <v>4.2747056549749454</v>
      </c>
      <c r="D114" s="17">
        <f t="shared" si="80"/>
        <v>4.2769832621182431</v>
      </c>
      <c r="E114" s="17">
        <f t="shared" si="80"/>
        <v>3.8336378952009071</v>
      </c>
      <c r="F114" s="17">
        <f t="shared" si="80"/>
        <v>3.7440211735500544</v>
      </c>
      <c r="G114" s="17">
        <f t="shared" si="80"/>
        <v>3.466584373582851</v>
      </c>
      <c r="H114" s="17">
        <f t="shared" si="80"/>
        <v>3.4270886734469848</v>
      </c>
      <c r="I114" s="17">
        <f t="shared" si="80"/>
        <v>3.1973446063911264</v>
      </c>
      <c r="J114" s="17">
        <f t="shared" si="80"/>
        <v>2.9724544514057443</v>
      </c>
      <c r="K114" s="17">
        <f t="shared" si="80"/>
        <v>3.029423500743246</v>
      </c>
      <c r="L114" s="17">
        <f t="shared" si="80"/>
        <v>2.4170399712995905</v>
      </c>
      <c r="M114" s="17">
        <f t="shared" ref="M114:N114" si="81">M113/M112</f>
        <v>2.1630072651555241</v>
      </c>
      <c r="N114" s="17">
        <f t="shared" si="81"/>
        <v>2.4474169352308701</v>
      </c>
      <c r="O114" s="16">
        <f>O113/O112</f>
        <v>3.2711668237000096</v>
      </c>
      <c r="P114" s="2"/>
      <c r="Q114" s="10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22"/>
      <c r="AE114" s="2"/>
      <c r="AF114" s="10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22"/>
    </row>
    <row r="115" spans="1:45" s="31" customFormat="1">
      <c r="A115" s="3" t="s">
        <v>263</v>
      </c>
      <c r="B115" s="22" t="s">
        <v>47</v>
      </c>
      <c r="C115" s="28">
        <f t="shared" ref="C115:H116" si="82">C112</f>
        <v>1082675</v>
      </c>
      <c r="D115" s="28">
        <f>C115+D112</f>
        <v>2117334</v>
      </c>
      <c r="E115" s="28">
        <f>D115+E112</f>
        <v>3070014</v>
      </c>
      <c r="F115" s="28">
        <f t="shared" si="82"/>
        <v>1154238</v>
      </c>
      <c r="G115" s="28">
        <f t="shared" si="82"/>
        <v>1484528</v>
      </c>
      <c r="H115" s="28">
        <f t="shared" si="82"/>
        <v>1338627</v>
      </c>
      <c r="I115" s="28">
        <f t="shared" ref="I115:K116" si="83">I112</f>
        <v>1488325</v>
      </c>
      <c r="J115" s="28">
        <f t="shared" si="83"/>
        <v>1425551</v>
      </c>
      <c r="K115" s="28">
        <f t="shared" si="83"/>
        <v>932275</v>
      </c>
      <c r="L115" s="28">
        <f t="shared" ref="L115:N116" si="84">L112</f>
        <v>1003470</v>
      </c>
      <c r="M115" s="28">
        <f t="shared" si="84"/>
        <v>1103624</v>
      </c>
      <c r="N115" s="28">
        <f t="shared" si="84"/>
        <v>1051890</v>
      </c>
      <c r="O115" s="22"/>
      <c r="P115" s="3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3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</row>
    <row r="116" spans="1:45" s="112" customFormat="1">
      <c r="A116" s="5" t="s">
        <v>263</v>
      </c>
      <c r="B116" s="32" t="s">
        <v>49</v>
      </c>
      <c r="C116" s="39">
        <f t="shared" si="82"/>
        <v>4628116.9449999994</v>
      </c>
      <c r="D116" s="39">
        <f>C116+D113</f>
        <v>9053336.1699999981</v>
      </c>
      <c r="E116" s="39">
        <f>D116+E113</f>
        <v>12705566.319999998</v>
      </c>
      <c r="F116" s="39">
        <f t="shared" si="82"/>
        <v>4321491.5113160675</v>
      </c>
      <c r="G116" s="39">
        <f t="shared" si="82"/>
        <v>5146241.5669462029</v>
      </c>
      <c r="H116" s="39">
        <f t="shared" si="82"/>
        <v>4587593.4296703171</v>
      </c>
      <c r="I116" s="39">
        <f t="shared" si="83"/>
        <v>4758687.9113070732</v>
      </c>
      <c r="J116" s="39">
        <f t="shared" si="83"/>
        <v>4237385.41565591</v>
      </c>
      <c r="K116" s="39">
        <f t="shared" si="83"/>
        <v>2824255.7941554096</v>
      </c>
      <c r="L116" s="39">
        <f t="shared" si="84"/>
        <v>2425427.1</v>
      </c>
      <c r="M116" s="39">
        <f t="shared" si="84"/>
        <v>2387146.73</v>
      </c>
      <c r="N116" s="39">
        <f t="shared" si="84"/>
        <v>2574413.4</v>
      </c>
      <c r="O116" s="32"/>
      <c r="P116" s="5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5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</row>
    <row r="117" spans="1:45">
      <c r="A117" s="3" t="s">
        <v>263</v>
      </c>
      <c r="B117" s="10" t="s">
        <v>48</v>
      </c>
      <c r="C117" s="17">
        <f t="shared" ref="C117:L117" si="85">C116/C115</f>
        <v>4.2747056549749454</v>
      </c>
      <c r="D117" s="17">
        <f t="shared" si="85"/>
        <v>4.2758186332435022</v>
      </c>
      <c r="E117" s="17">
        <f t="shared" si="85"/>
        <v>4.1386020780361257</v>
      </c>
      <c r="F117" s="17">
        <f t="shared" si="85"/>
        <v>3.7440211735500544</v>
      </c>
      <c r="G117" s="17">
        <f t="shared" si="85"/>
        <v>3.466584373582851</v>
      </c>
      <c r="H117" s="17">
        <f t="shared" si="85"/>
        <v>3.4270886734469848</v>
      </c>
      <c r="I117" s="17">
        <f t="shared" si="85"/>
        <v>3.1973446063911264</v>
      </c>
      <c r="J117" s="17">
        <f t="shared" si="85"/>
        <v>2.9724544514057443</v>
      </c>
      <c r="K117" s="17">
        <f t="shared" si="85"/>
        <v>3.029423500743246</v>
      </c>
      <c r="L117" s="17">
        <f t="shared" si="85"/>
        <v>2.4170399712995905</v>
      </c>
      <c r="M117" s="17">
        <f t="shared" ref="M117:N117" si="86">M116/M115</f>
        <v>2.1630072651555241</v>
      </c>
      <c r="N117" s="17">
        <f t="shared" si="86"/>
        <v>2.4474169352308701</v>
      </c>
      <c r="O117" s="16"/>
      <c r="P117" s="2"/>
      <c r="Q117" s="10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22"/>
      <c r="AE117" s="2"/>
      <c r="AF117" s="10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22"/>
    </row>
    <row r="118" spans="1:45">
      <c r="A118" s="3"/>
      <c r="B118" s="10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6"/>
      <c r="P118" s="2"/>
      <c r="Q118" s="10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22"/>
      <c r="AE118" s="2"/>
      <c r="AF118" s="10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22"/>
    </row>
    <row r="119" spans="1:45">
      <c r="A119" s="3" t="s">
        <v>874</v>
      </c>
      <c r="B119" s="22" t="s">
        <v>47</v>
      </c>
      <c r="C119" s="28">
        <f>SUM(C67)</f>
        <v>54994</v>
      </c>
      <c r="D119" s="28">
        <f t="shared" ref="D119:L119" si="87">SUM(D67)</f>
        <v>54995</v>
      </c>
      <c r="E119" s="28">
        <f t="shared" si="87"/>
        <v>53220</v>
      </c>
      <c r="F119" s="28">
        <f t="shared" si="87"/>
        <v>54994</v>
      </c>
      <c r="G119" s="28">
        <f t="shared" si="87"/>
        <v>53220</v>
      </c>
      <c r="H119" s="28">
        <f t="shared" si="87"/>
        <v>54994</v>
      </c>
      <c r="I119" s="28">
        <f t="shared" si="87"/>
        <v>54995</v>
      </c>
      <c r="J119" s="28">
        <f t="shared" si="87"/>
        <v>51446</v>
      </c>
      <c r="K119" s="28">
        <f>SUM(K67)</f>
        <v>54969</v>
      </c>
      <c r="L119" s="28">
        <f t="shared" si="87"/>
        <v>53040</v>
      </c>
      <c r="M119" s="28">
        <f t="shared" ref="M119:N119" si="88">SUM(M67)</f>
        <v>54808</v>
      </c>
      <c r="N119" s="28">
        <f t="shared" si="88"/>
        <v>53040</v>
      </c>
      <c r="O119" s="22">
        <f>SUM(C119:N119)</f>
        <v>648715</v>
      </c>
      <c r="P119" s="124">
        <f>O119/O122</f>
        <v>4.5888582099650833E-2</v>
      </c>
      <c r="Q119" s="10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22"/>
      <c r="AE119" s="2"/>
      <c r="AF119" s="10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22"/>
    </row>
    <row r="120" spans="1:45">
      <c r="A120" s="3" t="s">
        <v>875</v>
      </c>
      <c r="B120" s="10" t="s">
        <v>47</v>
      </c>
      <c r="C120" s="28">
        <f t="shared" ref="C120:L120" si="89">SUM(C14,C17,C57,C70,C73,C79)</f>
        <v>836225</v>
      </c>
      <c r="D120" s="28">
        <f t="shared" si="89"/>
        <v>820107</v>
      </c>
      <c r="E120" s="28">
        <f t="shared" si="89"/>
        <v>793050</v>
      </c>
      <c r="F120" s="28">
        <f t="shared" si="89"/>
        <v>939687</v>
      </c>
      <c r="G120" s="28">
        <f t="shared" si="89"/>
        <v>1431308</v>
      </c>
      <c r="H120" s="28">
        <f t="shared" si="89"/>
        <v>1283633</v>
      </c>
      <c r="I120" s="28">
        <f t="shared" si="89"/>
        <v>1355830</v>
      </c>
      <c r="J120" s="28">
        <f t="shared" si="89"/>
        <v>1374105</v>
      </c>
      <c r="K120" s="28">
        <f t="shared" si="89"/>
        <v>913384</v>
      </c>
      <c r="L120" s="28">
        <f t="shared" si="89"/>
        <v>950430</v>
      </c>
      <c r="M120" s="28">
        <f t="shared" ref="M120:N120" si="90">SUM(M14,M17,M57,M70,M73,M79)</f>
        <v>866791</v>
      </c>
      <c r="N120" s="28">
        <f t="shared" si="90"/>
        <v>819750</v>
      </c>
      <c r="O120" s="22">
        <f>SUM(C120:N120)</f>
        <v>12384300</v>
      </c>
      <c r="P120" s="124">
        <f>O120/O122</f>
        <v>0.87603642169011942</v>
      </c>
      <c r="Q120" s="10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22"/>
      <c r="AE120" s="2"/>
      <c r="AF120" s="10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22"/>
    </row>
    <row r="121" spans="1:45">
      <c r="A121" s="3" t="s">
        <v>476</v>
      </c>
      <c r="B121" s="22" t="s">
        <v>47</v>
      </c>
      <c r="C121" s="28">
        <f>SUM(C2,C5,C11)</f>
        <v>191456</v>
      </c>
      <c r="D121" s="28">
        <f>SUM(D2,D5,D8,D11)</f>
        <v>159557</v>
      </c>
      <c r="E121" s="28">
        <f t="shared" ref="E121:J121" si="91">SUM(E2,E5,E8,E11)</f>
        <v>154410</v>
      </c>
      <c r="F121" s="28">
        <f t="shared" si="91"/>
        <v>159557</v>
      </c>
      <c r="G121" s="28">
        <f t="shared" si="91"/>
        <v>0</v>
      </c>
      <c r="H121" s="28">
        <f t="shared" si="91"/>
        <v>0</v>
      </c>
      <c r="I121" s="28">
        <f t="shared" si="91"/>
        <v>77500</v>
      </c>
      <c r="J121" s="28">
        <f t="shared" si="91"/>
        <v>0</v>
      </c>
      <c r="K121" s="28">
        <f>SUM(K2,K5,K8,K11)</f>
        <v>0</v>
      </c>
      <c r="L121" s="28">
        <f>SUM(L2,L5,L11)</f>
        <v>0</v>
      </c>
      <c r="M121" s="28">
        <f>SUM(M2,M5,M11)</f>
        <v>182146</v>
      </c>
      <c r="N121" s="28">
        <f>SUM(N2,N5,N11)</f>
        <v>179100</v>
      </c>
      <c r="O121" s="22">
        <f>SUM(C121:N121)</f>
        <v>1103726</v>
      </c>
      <c r="P121" s="124">
        <f>O121/O122</f>
        <v>7.8074996210229786E-2</v>
      </c>
      <c r="Q121" s="10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22"/>
      <c r="AE121" s="2"/>
      <c r="AF121" s="10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22"/>
    </row>
    <row r="122" spans="1:45">
      <c r="A122" s="3" t="s">
        <v>0</v>
      </c>
      <c r="B122" s="10" t="s">
        <v>47</v>
      </c>
      <c r="C122" s="28">
        <f>SUM(C119:C121)</f>
        <v>1082675</v>
      </c>
      <c r="D122" s="28">
        <f t="shared" ref="D122:L122" si="92">SUM(D119:D121)</f>
        <v>1034659</v>
      </c>
      <c r="E122" s="28">
        <f t="shared" si="92"/>
        <v>1000680</v>
      </c>
      <c r="F122" s="28">
        <f t="shared" si="92"/>
        <v>1154238</v>
      </c>
      <c r="G122" s="28">
        <f t="shared" si="92"/>
        <v>1484528</v>
      </c>
      <c r="H122" s="28">
        <f t="shared" si="92"/>
        <v>1338627</v>
      </c>
      <c r="I122" s="28">
        <f t="shared" si="92"/>
        <v>1488325</v>
      </c>
      <c r="J122" s="28">
        <f t="shared" si="92"/>
        <v>1425551</v>
      </c>
      <c r="K122" s="28">
        <f t="shared" si="92"/>
        <v>968353</v>
      </c>
      <c r="L122" s="28">
        <f t="shared" si="92"/>
        <v>1003470</v>
      </c>
      <c r="M122" s="28">
        <f t="shared" ref="M122:N122" si="93">SUM(M119:M121)</f>
        <v>1103745</v>
      </c>
      <c r="N122" s="28">
        <f t="shared" si="93"/>
        <v>1051890</v>
      </c>
      <c r="O122" s="22">
        <f>SUM(C122:N122)</f>
        <v>14136741</v>
      </c>
      <c r="P122" s="2"/>
      <c r="Q122" s="10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22"/>
      <c r="AE122" s="2"/>
      <c r="AF122" s="10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22"/>
    </row>
    <row r="123" spans="1:45">
      <c r="A123" s="3"/>
      <c r="B123" s="10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6"/>
      <c r="P123" s="2"/>
      <c r="Q123" s="10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22"/>
      <c r="AE123" s="2"/>
      <c r="AF123" s="10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22"/>
    </row>
    <row r="124" spans="1:45" s="31" customFormat="1">
      <c r="A124" s="33" t="s">
        <v>380</v>
      </c>
      <c r="C124" s="128">
        <f t="shared" ref="C124:H124" si="94">C20/C112</f>
        <v>0.18817465998568361</v>
      </c>
      <c r="D124" s="128">
        <f t="shared" si="94"/>
        <v>0.16607693935876458</v>
      </c>
      <c r="E124" s="128">
        <f t="shared" si="94"/>
        <v>0.17454969139690138</v>
      </c>
      <c r="F124" s="128">
        <f t="shared" si="94"/>
        <v>0.14887137661383529</v>
      </c>
      <c r="G124" s="128">
        <f t="shared" si="94"/>
        <v>8.0025435694038773E-3</v>
      </c>
      <c r="H124" s="128">
        <f t="shared" si="94"/>
        <v>9.170590463213427E-3</v>
      </c>
      <c r="I124" s="128">
        <f t="shared" ref="I124:O124" si="95">I20/I112</f>
        <v>6.0320158567517178E-2</v>
      </c>
      <c r="J124" s="128">
        <f t="shared" si="95"/>
        <v>8.0558324465417226E-3</v>
      </c>
      <c r="K124" s="128">
        <f t="shared" si="95"/>
        <v>1.3167788474430828E-2</v>
      </c>
      <c r="L124" s="128">
        <f t="shared" si="95"/>
        <v>1.1779126431283446E-2</v>
      </c>
      <c r="M124" s="128">
        <f t="shared" si="95"/>
        <v>0.17611070437032902</v>
      </c>
      <c r="N124" s="128">
        <f t="shared" si="95"/>
        <v>0.18150186806605254</v>
      </c>
      <c r="O124" s="128">
        <f t="shared" si="95"/>
        <v>8.8843712404488809E-2</v>
      </c>
      <c r="P124" s="125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125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</row>
    <row r="125" spans="1:45" s="31" customFormat="1">
      <c r="A125" s="33" t="s">
        <v>381</v>
      </c>
      <c r="C125" s="128">
        <f t="shared" ref="C125:H125" si="96">C57/C112</f>
        <v>0.51433070866141728</v>
      </c>
      <c r="D125" s="128">
        <f t="shared" si="96"/>
        <v>0.52261952971945347</v>
      </c>
      <c r="E125" s="128">
        <f t="shared" si="96"/>
        <v>0.54865222320191465</v>
      </c>
      <c r="F125" s="128">
        <f t="shared" si="96"/>
        <v>0.57207872206598642</v>
      </c>
      <c r="G125" s="128">
        <f t="shared" si="96"/>
        <v>0.78203240356530834</v>
      </c>
      <c r="H125" s="128">
        <f t="shared" si="96"/>
        <v>0.75021720016106053</v>
      </c>
      <c r="I125" s="128">
        <f t="shared" ref="I125:O125" si="97">I57/I112</f>
        <v>0.72326743150857509</v>
      </c>
      <c r="J125" s="128">
        <f t="shared" si="97"/>
        <v>0.78058028088788123</v>
      </c>
      <c r="K125" s="128">
        <f t="shared" si="97"/>
        <v>0.68069936445791213</v>
      </c>
      <c r="L125" s="128">
        <f t="shared" si="97"/>
        <v>0.67852551645789116</v>
      </c>
      <c r="M125" s="128">
        <f t="shared" si="97"/>
        <v>0.53302211622799067</v>
      </c>
      <c r="N125" s="128">
        <f t="shared" si="97"/>
        <v>0.52305849470952281</v>
      </c>
      <c r="O125" s="128">
        <f t="shared" si="97"/>
        <v>0.64678333642411456</v>
      </c>
      <c r="P125" s="125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125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</row>
    <row r="126" spans="1:45" s="31" customFormat="1">
      <c r="A126" s="33" t="s">
        <v>382</v>
      </c>
      <c r="C126" s="128">
        <f t="shared" ref="C126:H126" si="98">C85/C112</f>
        <v>0.29749463135289905</v>
      </c>
      <c r="D126" s="128">
        <f t="shared" si="98"/>
        <v>0.31130353092178198</v>
      </c>
      <c r="E126" s="128">
        <f t="shared" si="98"/>
        <v>0.32718226476886259</v>
      </c>
      <c r="F126" s="128">
        <f t="shared" si="98"/>
        <v>0.27904990132017832</v>
      </c>
      <c r="G126" s="128">
        <f t="shared" si="98"/>
        <v>0.20996505286528783</v>
      </c>
      <c r="H126" s="128">
        <f t="shared" si="98"/>
        <v>0.24061220937572603</v>
      </c>
      <c r="I126" s="128">
        <f t="shared" ref="I126:O126" si="99">I85/I112</f>
        <v>0.21641240992390776</v>
      </c>
      <c r="J126" s="128">
        <f t="shared" si="99"/>
        <v>0.21136388666557704</v>
      </c>
      <c r="K126" s="128">
        <f t="shared" si="99"/>
        <v>0.30613284706765709</v>
      </c>
      <c r="L126" s="128">
        <f t="shared" si="99"/>
        <v>0.30969535711082541</v>
      </c>
      <c r="M126" s="128">
        <f t="shared" si="99"/>
        <v>0.29086717940168028</v>
      </c>
      <c r="N126" s="128">
        <f t="shared" si="99"/>
        <v>0.29543963722442462</v>
      </c>
      <c r="O126" s="128">
        <f t="shared" si="99"/>
        <v>0.26778870328229581</v>
      </c>
      <c r="P126" s="125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125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</row>
    <row r="127" spans="1:45" s="31" customFormat="1">
      <c r="A127" s="33" t="s">
        <v>383</v>
      </c>
      <c r="C127" s="128">
        <f t="shared" ref="C127:L127" si="100">SUM(C124:C126)</f>
        <v>1</v>
      </c>
      <c r="D127" s="128">
        <f t="shared" si="100"/>
        <v>1</v>
      </c>
      <c r="E127" s="128">
        <f t="shared" si="100"/>
        <v>1.0503841793676787</v>
      </c>
      <c r="F127" s="128">
        <f t="shared" si="100"/>
        <v>1</v>
      </c>
      <c r="G127" s="128">
        <f t="shared" si="100"/>
        <v>1</v>
      </c>
      <c r="H127" s="128">
        <f t="shared" si="100"/>
        <v>1</v>
      </c>
      <c r="I127" s="128">
        <f t="shared" si="100"/>
        <v>1</v>
      </c>
      <c r="J127" s="128">
        <f t="shared" si="100"/>
        <v>1</v>
      </c>
      <c r="K127" s="128">
        <f t="shared" si="100"/>
        <v>1</v>
      </c>
      <c r="L127" s="128">
        <f t="shared" si="100"/>
        <v>1</v>
      </c>
      <c r="M127" s="128">
        <f t="shared" ref="M127:N127" si="101">SUM(M124:M126)</f>
        <v>1</v>
      </c>
      <c r="N127" s="128">
        <f t="shared" si="101"/>
        <v>1</v>
      </c>
      <c r="O127" s="128">
        <f>SUM(O124:O126)</f>
        <v>1.0034157521108993</v>
      </c>
      <c r="P127" s="125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125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</row>
    <row r="128" spans="1:45" s="31" customFormat="1">
      <c r="A128" s="125" t="s">
        <v>386</v>
      </c>
      <c r="C128" s="28">
        <f>+C20</f>
        <v>203732</v>
      </c>
      <c r="D128" s="28">
        <f t="shared" ref="D128:L128" si="102">+D20</f>
        <v>171833</v>
      </c>
      <c r="E128" s="28">
        <f t="shared" si="102"/>
        <v>166290</v>
      </c>
      <c r="F128" s="28">
        <f t="shared" si="102"/>
        <v>171833</v>
      </c>
      <c r="G128" s="28">
        <f t="shared" si="102"/>
        <v>11880</v>
      </c>
      <c r="H128" s="28">
        <f t="shared" si="102"/>
        <v>12276</v>
      </c>
      <c r="I128" s="28">
        <f t="shared" si="102"/>
        <v>89776</v>
      </c>
      <c r="J128" s="28">
        <f t="shared" si="102"/>
        <v>11484</v>
      </c>
      <c r="K128" s="28">
        <f>+K20</f>
        <v>12276</v>
      </c>
      <c r="L128" s="28">
        <f t="shared" si="102"/>
        <v>11820</v>
      </c>
      <c r="M128" s="28">
        <f t="shared" ref="M128:N128" si="103">+M20</f>
        <v>194360</v>
      </c>
      <c r="N128" s="28">
        <f t="shared" si="103"/>
        <v>190920</v>
      </c>
      <c r="O128" s="28">
        <f>+O20</f>
        <v>1248480</v>
      </c>
      <c r="P128" s="125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125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</row>
    <row r="129" spans="1:45" s="31" customFormat="1">
      <c r="A129" s="125" t="s">
        <v>384</v>
      </c>
      <c r="C129" s="28">
        <f>+C57</f>
        <v>556853</v>
      </c>
      <c r="D129" s="28">
        <f t="shared" ref="D129:L129" si="104">+D57</f>
        <v>540733</v>
      </c>
      <c r="E129" s="28">
        <f t="shared" si="104"/>
        <v>522690</v>
      </c>
      <c r="F129" s="28">
        <f t="shared" si="104"/>
        <v>660315</v>
      </c>
      <c r="G129" s="28">
        <f t="shared" si="104"/>
        <v>1160949</v>
      </c>
      <c r="H129" s="28">
        <f t="shared" si="104"/>
        <v>1004261</v>
      </c>
      <c r="I129" s="28">
        <f t="shared" si="104"/>
        <v>1076457</v>
      </c>
      <c r="J129" s="28">
        <f t="shared" si="104"/>
        <v>1112757</v>
      </c>
      <c r="K129" s="28">
        <f>+K57</f>
        <v>634599</v>
      </c>
      <c r="L129" s="28">
        <f t="shared" si="104"/>
        <v>680880</v>
      </c>
      <c r="M129" s="28">
        <f t="shared" ref="M129:N129" si="105">+M57</f>
        <v>588256</v>
      </c>
      <c r="N129" s="28">
        <f t="shared" si="105"/>
        <v>550200</v>
      </c>
      <c r="O129" s="28">
        <f>+O57</f>
        <v>9088950</v>
      </c>
      <c r="P129" s="125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125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</row>
    <row r="130" spans="1:45" s="31" customFormat="1">
      <c r="A130" s="125" t="s">
        <v>385</v>
      </c>
      <c r="C130" s="28">
        <f>C85</f>
        <v>322090</v>
      </c>
      <c r="D130" s="28">
        <f t="shared" ref="D130:L130" si="106">D85</f>
        <v>322093</v>
      </c>
      <c r="E130" s="28">
        <f t="shared" si="106"/>
        <v>311700</v>
      </c>
      <c r="F130" s="28">
        <f t="shared" si="106"/>
        <v>322090</v>
      </c>
      <c r="G130" s="28">
        <f t="shared" si="106"/>
        <v>311699</v>
      </c>
      <c r="H130" s="28">
        <f t="shared" si="106"/>
        <v>322090</v>
      </c>
      <c r="I130" s="28">
        <f t="shared" si="106"/>
        <v>322092</v>
      </c>
      <c r="J130" s="28">
        <f t="shared" si="106"/>
        <v>301310</v>
      </c>
      <c r="K130" s="28">
        <f>K85</f>
        <v>285400</v>
      </c>
      <c r="L130" s="28">
        <f t="shared" si="106"/>
        <v>310770</v>
      </c>
      <c r="M130" s="28">
        <f t="shared" ref="M130:N130" si="107">M85</f>
        <v>321008</v>
      </c>
      <c r="N130" s="28">
        <f t="shared" si="107"/>
        <v>310770</v>
      </c>
      <c r="O130" s="28">
        <f>O85</f>
        <v>3763112</v>
      </c>
      <c r="P130" s="125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125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</row>
    <row r="131" spans="1:45" s="31" customFormat="1">
      <c r="A131" s="125" t="s">
        <v>861</v>
      </c>
      <c r="C131" s="28">
        <f>SUM(C128:C130)</f>
        <v>1082675</v>
      </c>
      <c r="D131" s="28">
        <f>SUM(D128:D130)</f>
        <v>1034659</v>
      </c>
      <c r="E131" s="28">
        <f>SUM(E128:E130)</f>
        <v>1000680</v>
      </c>
      <c r="F131" s="28">
        <f t="shared" ref="F131:L131" si="108">SUM(F128:F130)</f>
        <v>1154238</v>
      </c>
      <c r="G131" s="28">
        <f t="shared" si="108"/>
        <v>1484528</v>
      </c>
      <c r="H131" s="28">
        <f t="shared" si="108"/>
        <v>1338627</v>
      </c>
      <c r="I131" s="28">
        <f t="shared" si="108"/>
        <v>1488325</v>
      </c>
      <c r="J131" s="28">
        <f t="shared" si="108"/>
        <v>1425551</v>
      </c>
      <c r="K131" s="28">
        <f t="shared" si="108"/>
        <v>932275</v>
      </c>
      <c r="L131" s="28">
        <f t="shared" si="108"/>
        <v>1003470</v>
      </c>
      <c r="M131" s="28">
        <f t="shared" ref="M131:N131" si="109">SUM(M128:M130)</f>
        <v>1103624</v>
      </c>
      <c r="N131" s="28">
        <f t="shared" si="109"/>
        <v>1051890</v>
      </c>
      <c r="O131" s="28"/>
      <c r="P131" s="125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125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</row>
    <row r="132" spans="1:45" s="31" customFormat="1">
      <c r="A132" s="33"/>
      <c r="C132" s="128"/>
      <c r="D132" s="28"/>
      <c r="E132" s="128"/>
      <c r="F132" s="128"/>
      <c r="G132" s="128"/>
      <c r="H132" s="128"/>
      <c r="I132" s="128"/>
      <c r="J132" s="128"/>
      <c r="K132" s="128"/>
      <c r="L132" s="128"/>
      <c r="M132" s="128"/>
      <c r="N132" s="129"/>
      <c r="O132" s="128"/>
      <c r="P132" s="125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125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</row>
    <row r="133" spans="1:45">
      <c r="A133" s="33" t="s">
        <v>286</v>
      </c>
      <c r="C133" s="39">
        <f>+TRANSPORT!D67</f>
        <v>51122.634900000005</v>
      </c>
      <c r="D133" s="39">
        <f>+TRANSPORT!E67</f>
        <v>47298.927499999998</v>
      </c>
      <c r="E133" s="39">
        <f>+TRANSPORT!F67</f>
        <v>35158.567200000005</v>
      </c>
      <c r="F133" s="39">
        <f>+TRANSPORT!G67</f>
        <v>39340.7719</v>
      </c>
      <c r="G133" s="39">
        <f>+TRANSPORT!H67</f>
        <v>61046.019800000002</v>
      </c>
      <c r="H133" s="39">
        <f>+TRANSPORT!I67</f>
        <v>74082.061109999995</v>
      </c>
      <c r="I133" s="39">
        <f>+TRANSPORT!J67</f>
        <v>84267.622799999997</v>
      </c>
      <c r="J133" s="39">
        <v>95000</v>
      </c>
      <c r="K133" s="39">
        <v>95000</v>
      </c>
      <c r="L133" s="39">
        <f>+TRANSPORT!M67</f>
        <v>64236.568200000002</v>
      </c>
      <c r="M133" s="39">
        <f>+TRANSPORT!N67</f>
        <v>57449.209649999997</v>
      </c>
      <c r="N133" s="39">
        <f>+TRANSPORT!O67</f>
        <v>55920.98750000001</v>
      </c>
      <c r="O133" s="32">
        <f t="shared" ref="O133:O139" si="110">SUM(C133:N133)</f>
        <v>759923.37055999995</v>
      </c>
    </row>
    <row r="134" spans="1:45">
      <c r="A134" s="33" t="s">
        <v>287</v>
      </c>
      <c r="C134" s="39">
        <f>+DEMAND!B107</f>
        <v>1691092.1852719998</v>
      </c>
      <c r="D134" s="39">
        <f>+DEMAND!C107</f>
        <v>1681164.1980819998</v>
      </c>
      <c r="E134" s="39">
        <f>+DEMAND!D107</f>
        <v>1686606.505688</v>
      </c>
      <c r="F134" s="39">
        <f>+DEMAND!E107</f>
        <v>1837705.219488</v>
      </c>
      <c r="G134" s="39">
        <f>+DEMAND!F107</f>
        <v>1801014.8288110001</v>
      </c>
      <c r="H134" s="39">
        <f>+DEMAND!G107</f>
        <v>1820496.4326200001</v>
      </c>
      <c r="I134" s="39">
        <f>+DEMAND!H107</f>
        <v>1816123.6224890002</v>
      </c>
      <c r="J134" s="39">
        <f>+DEMAND!I107</f>
        <v>1801543.6909</v>
      </c>
      <c r="K134" s="39">
        <f>+DEMAND!J107</f>
        <v>1817918.2879000001</v>
      </c>
      <c r="L134" s="39">
        <f>+DEMAND!K107</f>
        <v>1625110.6113999998</v>
      </c>
      <c r="M134" s="39">
        <f>+DEMAND!L107</f>
        <v>1618896.9213999999</v>
      </c>
      <c r="N134" s="39">
        <f>+DEMAND!M107</f>
        <v>1617542.3813999998</v>
      </c>
      <c r="O134" s="32">
        <f t="shared" si="110"/>
        <v>20815214.885450002</v>
      </c>
    </row>
    <row r="135" spans="1:45">
      <c r="A135" s="33" t="s">
        <v>288</v>
      </c>
      <c r="C135" s="39">
        <f>SUM(C113,C133,C134)</f>
        <v>6370331.7651719991</v>
      </c>
      <c r="D135" s="39">
        <f t="shared" ref="D135:L135" si="111">SUM(D113,D133,D134)</f>
        <v>6153682.3505819999</v>
      </c>
      <c r="E135" s="39">
        <f>SUM(E113,E133,E134)</f>
        <v>5373995.2228880003</v>
      </c>
      <c r="F135" s="39">
        <f t="shared" si="111"/>
        <v>6198537.5027040672</v>
      </c>
      <c r="G135" s="39">
        <f t="shared" si="111"/>
        <v>7008302.4155572029</v>
      </c>
      <c r="H135" s="39">
        <f t="shared" si="111"/>
        <v>6482171.9234003173</v>
      </c>
      <c r="I135" s="39">
        <f t="shared" si="111"/>
        <v>6659079.1565960739</v>
      </c>
      <c r="J135" s="39">
        <f t="shared" si="111"/>
        <v>6133929.1065559098</v>
      </c>
      <c r="K135" s="39">
        <f t="shared" si="111"/>
        <v>4737174.0820554094</v>
      </c>
      <c r="L135" s="39">
        <f t="shared" si="111"/>
        <v>4114774.2796</v>
      </c>
      <c r="M135" s="39">
        <f t="shared" ref="M135:N135" si="112">SUM(M113,M133,M134)</f>
        <v>4063492.8610499999</v>
      </c>
      <c r="N135" s="39">
        <f t="shared" si="112"/>
        <v>4247876.7688999996</v>
      </c>
      <c r="O135" s="32">
        <f t="shared" si="110"/>
        <v>67543347.435060978</v>
      </c>
    </row>
    <row r="136" spans="1:45">
      <c r="A136" s="33" t="s">
        <v>289</v>
      </c>
      <c r="B136" s="103"/>
      <c r="C136" s="39">
        <v>6126173.8785034353</v>
      </c>
      <c r="D136" s="39">
        <v>5991466.1940942463</v>
      </c>
      <c r="E136" s="39">
        <v>5390048.6323342398</v>
      </c>
      <c r="F136" s="435">
        <v>6032506.4908217462</v>
      </c>
      <c r="G136" s="39">
        <v>6859718.4567474835</v>
      </c>
      <c r="H136" s="39">
        <v>6327195.3404932916</v>
      </c>
      <c r="I136" s="39">
        <v>6506856.4223634731</v>
      </c>
      <c r="J136" s="39">
        <v>5969277.9804416969</v>
      </c>
      <c r="K136" s="39">
        <v>4720224.4031170616</v>
      </c>
      <c r="L136" s="39">
        <v>3953087.8988442291</v>
      </c>
      <c r="M136" s="39">
        <v>3911255.7419213345</v>
      </c>
      <c r="N136" s="39">
        <v>4100960.6771674459</v>
      </c>
      <c r="O136" s="32">
        <f t="shared" si="110"/>
        <v>65888772.116849683</v>
      </c>
    </row>
    <row r="137" spans="1:45">
      <c r="A137" s="33" t="s">
        <v>307</v>
      </c>
      <c r="B137" s="103"/>
      <c r="C137" s="66">
        <v>142060</v>
      </c>
      <c r="D137" s="66">
        <v>142060</v>
      </c>
      <c r="E137" s="66">
        <v>142060</v>
      </c>
      <c r="F137" s="66">
        <v>142060</v>
      </c>
      <c r="G137" s="66">
        <v>142060</v>
      </c>
      <c r="H137" s="66">
        <v>142060</v>
      </c>
      <c r="I137" s="66">
        <v>142060</v>
      </c>
      <c r="J137" s="66">
        <v>142060</v>
      </c>
      <c r="K137" s="66">
        <v>142060</v>
      </c>
      <c r="L137" s="66">
        <v>142060</v>
      </c>
      <c r="M137" s="66">
        <v>142060</v>
      </c>
      <c r="N137" s="66">
        <v>142060</v>
      </c>
      <c r="O137" s="32">
        <f t="shared" si="110"/>
        <v>1704720</v>
      </c>
    </row>
    <row r="138" spans="1:45" s="112" customFormat="1">
      <c r="A138" s="123" t="s">
        <v>888</v>
      </c>
      <c r="C138" s="39">
        <f t="shared" ref="C138:L138" si="113">C136+C137</f>
        <v>6268233.8785034353</v>
      </c>
      <c r="D138" s="39">
        <f t="shared" si="113"/>
        <v>6133526.1940942463</v>
      </c>
      <c r="E138" s="39">
        <f t="shared" si="113"/>
        <v>5532108.6323342398</v>
      </c>
      <c r="F138" s="39">
        <f t="shared" si="113"/>
        <v>6174566.4908217462</v>
      </c>
      <c r="G138" s="39">
        <f t="shared" si="113"/>
        <v>7001778.4567474835</v>
      </c>
      <c r="H138" s="39">
        <f t="shared" si="113"/>
        <v>6469255.3404932916</v>
      </c>
      <c r="I138" s="39">
        <f t="shared" si="113"/>
        <v>6648916.4223634731</v>
      </c>
      <c r="J138" s="39">
        <f t="shared" si="113"/>
        <v>6111337.9804416969</v>
      </c>
      <c r="K138" s="39">
        <f t="shared" si="113"/>
        <v>4862284.4031170616</v>
      </c>
      <c r="L138" s="39">
        <f t="shared" si="113"/>
        <v>4095147.8988442291</v>
      </c>
      <c r="M138" s="39">
        <f t="shared" ref="M138:N138" si="114">M136+M137</f>
        <v>4053315.7419213345</v>
      </c>
      <c r="N138" s="39">
        <f t="shared" si="114"/>
        <v>4243020.6771674454</v>
      </c>
      <c r="O138" s="32">
        <f t="shared" si="110"/>
        <v>67593492.116849691</v>
      </c>
    </row>
    <row r="139" spans="1:45" s="372" customFormat="1">
      <c r="A139" s="370" t="s">
        <v>284</v>
      </c>
      <c r="B139" s="371"/>
      <c r="C139" s="198">
        <f t="shared" ref="C139:L139" si="115">C135-C138</f>
        <v>102097.88666856382</v>
      </c>
      <c r="D139" s="198">
        <f t="shared" si="115"/>
        <v>20156.156487753615</v>
      </c>
      <c r="E139" s="198">
        <f t="shared" si="115"/>
        <v>-158113.40944623947</v>
      </c>
      <c r="F139" s="198">
        <f t="shared" si="115"/>
        <v>23971.011882320978</v>
      </c>
      <c r="G139" s="198">
        <f t="shared" si="115"/>
        <v>6523.958809719421</v>
      </c>
      <c r="H139" s="198">
        <f t="shared" si="115"/>
        <v>12916.582907025702</v>
      </c>
      <c r="I139" s="198">
        <f t="shared" si="115"/>
        <v>10162.734232600778</v>
      </c>
      <c r="J139" s="198">
        <f t="shared" si="115"/>
        <v>22591.126114212908</v>
      </c>
      <c r="K139" s="198">
        <f t="shared" si="115"/>
        <v>-125110.32106165215</v>
      </c>
      <c r="L139" s="198">
        <f t="shared" si="115"/>
        <v>19626.380755770952</v>
      </c>
      <c r="M139" s="198">
        <f t="shared" ref="M139:N139" si="116">M135-M138</f>
        <v>10177.119128665421</v>
      </c>
      <c r="N139" s="198">
        <f t="shared" si="116"/>
        <v>4856.0917325541377</v>
      </c>
      <c r="O139" s="192">
        <f t="shared" si="110"/>
        <v>-50144.681788703892</v>
      </c>
    </row>
    <row r="140" spans="1:45" s="375" customFormat="1">
      <c r="A140" s="373" t="s">
        <v>459</v>
      </c>
      <c r="B140" s="371"/>
      <c r="C140" s="374">
        <f t="shared" ref="C140:L140" si="117">C139/C138</f>
        <v>1.6288142505132573E-2</v>
      </c>
      <c r="D140" s="374">
        <f t="shared" si="117"/>
        <v>3.2862265277616748E-3</v>
      </c>
      <c r="E140" s="374">
        <f t="shared" si="117"/>
        <v>-2.8581038434801032E-2</v>
      </c>
      <c r="F140" s="374">
        <f t="shared" si="117"/>
        <v>3.8822177909903404E-3</v>
      </c>
      <c r="G140" s="374">
        <f t="shared" si="117"/>
        <v>9.3175738850068916E-4</v>
      </c>
      <c r="H140" s="374">
        <f t="shared" si="117"/>
        <v>1.9966104639859202E-3</v>
      </c>
      <c r="I140" s="374">
        <f t="shared" si="117"/>
        <v>1.528479768285049E-3</v>
      </c>
      <c r="J140" s="374">
        <f t="shared" si="117"/>
        <v>3.6965924952133207E-3</v>
      </c>
      <c r="K140" s="374">
        <f t="shared" si="117"/>
        <v>-2.5730769878752415E-2</v>
      </c>
      <c r="L140" s="374">
        <f t="shared" si="117"/>
        <v>4.79259387952999E-3</v>
      </c>
      <c r="M140" s="374">
        <f t="shared" ref="M140:O140" si="118">M139/M138</f>
        <v>2.510813313507452E-3</v>
      </c>
      <c r="N140" s="374">
        <f t="shared" si="118"/>
        <v>1.1444892924245577E-3</v>
      </c>
      <c r="O140" s="374">
        <f t="shared" si="118"/>
        <v>-7.4185665244248919E-4</v>
      </c>
    </row>
    <row r="141" spans="1:45" s="31" customFormat="1">
      <c r="A141" s="210" t="s">
        <v>477</v>
      </c>
      <c r="B141" s="108" t="s">
        <v>47</v>
      </c>
      <c r="C141" s="107">
        <f>+'STORAGE TOT'!C5</f>
        <v>562365</v>
      </c>
      <c r="D141" s="107">
        <f>+'STORAGE TOT'!D5</f>
        <v>466617</v>
      </c>
      <c r="E141" s="107">
        <f>+'STORAGE TOT'!E5</f>
        <v>366128</v>
      </c>
      <c r="F141" s="107">
        <f>+'STORAGE TOT'!F5</f>
        <v>234773</v>
      </c>
      <c r="G141" s="107">
        <f>+'STORAGE TOT'!G5</f>
        <v>136309</v>
      </c>
      <c r="H141" s="107">
        <f>+'STORAGE TOT'!H5</f>
        <v>51364</v>
      </c>
      <c r="I141" s="107">
        <f>+'STORAGE TOT'!I5</f>
        <v>31790</v>
      </c>
      <c r="J141" s="107">
        <f>+'STORAGE TOT'!J5</f>
        <v>25390</v>
      </c>
      <c r="K141" s="107">
        <f>+'STORAGE TOT'!K5</f>
        <v>48158</v>
      </c>
      <c r="L141" s="107">
        <f>+'STORAGE TOT'!L5</f>
        <v>253856</v>
      </c>
      <c r="M141" s="107">
        <f>+'STORAGE TOT'!M5</f>
        <v>474570</v>
      </c>
      <c r="N141" s="107">
        <f>+'STORAGE TOT'!N5</f>
        <v>476785</v>
      </c>
      <c r="O141" s="108">
        <f>SUM(C141:N141)</f>
        <v>3128105</v>
      </c>
    </row>
    <row r="142" spans="1:45" s="31" customFormat="1">
      <c r="A142" s="125" t="s">
        <v>478</v>
      </c>
      <c r="B142" s="22" t="s">
        <v>47</v>
      </c>
      <c r="C142" s="107">
        <f>+'STORAGE TOT'!C10</f>
        <v>0</v>
      </c>
      <c r="D142" s="107">
        <f>+'STORAGE TOT'!D10</f>
        <v>0</v>
      </c>
      <c r="E142" s="107">
        <f>+'STORAGE TOT'!E10</f>
        <v>0</v>
      </c>
      <c r="F142" s="107">
        <f>+'STORAGE TOT'!F10</f>
        <v>0</v>
      </c>
      <c r="G142" s="107">
        <f>+'STORAGE TOT'!G10</f>
        <v>-129612</v>
      </c>
      <c r="H142" s="107">
        <f>+'STORAGE TOT'!H10</f>
        <v>-745693</v>
      </c>
      <c r="I142" s="107">
        <f>+'STORAGE TOT'!I10</f>
        <v>-1038568</v>
      </c>
      <c r="J142" s="107">
        <f>+'STORAGE TOT'!J10</f>
        <v>-725553</v>
      </c>
      <c r="K142" s="107">
        <f>+'STORAGE TOT'!K10</f>
        <v>-308109</v>
      </c>
      <c r="L142" s="107">
        <f>+'STORAGE TOT'!L10</f>
        <v>0</v>
      </c>
      <c r="M142" s="107">
        <f>+'STORAGE TOT'!M10</f>
        <v>0</v>
      </c>
      <c r="N142" s="107">
        <f>+'STORAGE TOT'!N10</f>
        <v>0</v>
      </c>
      <c r="O142" s="108">
        <f>SUM(C142:N142)</f>
        <v>-2947535</v>
      </c>
    </row>
    <row r="143" spans="1:45" s="31" customFormat="1">
      <c r="A143" s="33"/>
      <c r="B143" s="1"/>
      <c r="C143" s="39"/>
      <c r="D143" s="24"/>
      <c r="E143" s="24"/>
      <c r="F143" s="10"/>
      <c r="G143" s="10"/>
      <c r="H143" s="10"/>
      <c r="I143" s="10"/>
      <c r="J143" s="10"/>
      <c r="K143" s="10"/>
      <c r="L143" s="10"/>
      <c r="M143" s="10"/>
      <c r="N143" s="24"/>
      <c r="O143" s="10"/>
    </row>
    <row r="144" spans="1:45">
      <c r="A144" s="125" t="s">
        <v>479</v>
      </c>
      <c r="B144" s="10" t="s">
        <v>47</v>
      </c>
      <c r="C144" s="28">
        <f t="shared" ref="C144:J144" si="119">C94-C141</f>
        <v>442810</v>
      </c>
      <c r="D144" s="28">
        <f t="shared" si="119"/>
        <v>490542</v>
      </c>
      <c r="E144" s="28">
        <f t="shared" si="119"/>
        <v>511552</v>
      </c>
      <c r="F144" s="28">
        <f t="shared" si="119"/>
        <v>737945</v>
      </c>
      <c r="G144" s="28">
        <f t="shared" si="119"/>
        <v>518620</v>
      </c>
      <c r="H144" s="28">
        <f t="shared" si="119"/>
        <v>764897</v>
      </c>
      <c r="I144" s="28">
        <f t="shared" si="119"/>
        <v>706973</v>
      </c>
      <c r="J144" s="28">
        <f t="shared" si="119"/>
        <v>593209</v>
      </c>
      <c r="K144" s="28">
        <f>K94-K141</f>
        <v>203892</v>
      </c>
      <c r="L144" s="28">
        <f>L94-L141</f>
        <v>524614</v>
      </c>
      <c r="M144" s="28">
        <f>M94-M141</f>
        <v>361727</v>
      </c>
      <c r="N144" s="28">
        <f>N94-N141</f>
        <v>335105</v>
      </c>
      <c r="O144" s="108">
        <f>SUM(C144:N144)</f>
        <v>6191886</v>
      </c>
    </row>
    <row r="145" spans="1:17">
      <c r="A145" s="33" t="s">
        <v>480</v>
      </c>
      <c r="B145" s="10" t="s">
        <v>47</v>
      </c>
      <c r="C145" s="107">
        <f>-C142</f>
        <v>0</v>
      </c>
      <c r="D145" s="107">
        <f t="shared" ref="D145:J145" si="120">-D142</f>
        <v>0</v>
      </c>
      <c r="E145" s="107">
        <f t="shared" si="120"/>
        <v>0</v>
      </c>
      <c r="F145" s="107">
        <f t="shared" si="120"/>
        <v>0</v>
      </c>
      <c r="G145" s="107">
        <f t="shared" si="120"/>
        <v>129612</v>
      </c>
      <c r="H145" s="107">
        <f t="shared" si="120"/>
        <v>745693</v>
      </c>
      <c r="I145" s="107">
        <f t="shared" si="120"/>
        <v>1038568</v>
      </c>
      <c r="J145" s="107">
        <f t="shared" si="120"/>
        <v>725553</v>
      </c>
      <c r="K145" s="107">
        <f>-K142</f>
        <v>308109</v>
      </c>
      <c r="L145" s="107">
        <f>-L142</f>
        <v>0</v>
      </c>
      <c r="M145" s="107">
        <f>-M142</f>
        <v>0</v>
      </c>
      <c r="N145" s="107">
        <f>-N142</f>
        <v>0</v>
      </c>
      <c r="O145" s="108">
        <f>SUM(C145:N145)</f>
        <v>2947535</v>
      </c>
    </row>
    <row r="146" spans="1:17">
      <c r="A146" s="33"/>
      <c r="C146" s="39"/>
      <c r="D146" s="28"/>
      <c r="E146" s="28"/>
      <c r="F146" s="22"/>
      <c r="G146" s="22"/>
      <c r="H146" s="22"/>
      <c r="I146" s="22"/>
      <c r="J146" s="22"/>
      <c r="K146" s="22"/>
      <c r="L146" s="22"/>
      <c r="M146" s="28"/>
      <c r="N146" s="28"/>
    </row>
    <row r="147" spans="1:17">
      <c r="A147" s="33" t="s">
        <v>804</v>
      </c>
      <c r="B147" s="10"/>
      <c r="C147" s="28"/>
      <c r="D147" s="39"/>
      <c r="E147" s="28"/>
      <c r="F147" s="22"/>
      <c r="G147" s="22"/>
      <c r="H147" s="22"/>
      <c r="I147" s="22"/>
      <c r="J147" s="28"/>
      <c r="K147" s="28"/>
      <c r="L147" s="28"/>
      <c r="M147" s="28"/>
      <c r="N147" s="28"/>
      <c r="O147" s="22"/>
    </row>
    <row r="148" spans="1:17">
      <c r="A148" s="33"/>
      <c r="C148" s="39"/>
    </row>
    <row r="149" spans="1:17">
      <c r="A149" s="123" t="s">
        <v>284</v>
      </c>
      <c r="C149" s="39"/>
      <c r="D149" s="39"/>
    </row>
    <row r="150" spans="1:17">
      <c r="A150" s="125" t="s">
        <v>459</v>
      </c>
      <c r="D150" s="129"/>
    </row>
    <row r="151" spans="1:17">
      <c r="G151" s="22"/>
    </row>
    <row r="152" spans="1:17" s="99" customFormat="1">
      <c r="A152" s="1"/>
      <c r="C152" s="17"/>
      <c r="D152" s="17"/>
      <c r="E152" s="17"/>
      <c r="F152" s="16"/>
      <c r="G152" s="22"/>
      <c r="H152" s="124"/>
      <c r="I152" s="16"/>
      <c r="J152" s="16"/>
      <c r="K152" s="16"/>
      <c r="L152" s="16"/>
      <c r="M152" s="16"/>
      <c r="N152" s="16"/>
      <c r="O152" s="16"/>
    </row>
    <row r="153" spans="1:17">
      <c r="A153" s="33" t="s">
        <v>851</v>
      </c>
      <c r="G153" s="22">
        <f>G112</f>
        <v>1484528</v>
      </c>
      <c r="H153" s="22">
        <f>H112</f>
        <v>1338627</v>
      </c>
      <c r="I153" s="22">
        <f>I112</f>
        <v>1488325</v>
      </c>
      <c r="J153" s="22">
        <f>J112</f>
        <v>1425551</v>
      </c>
      <c r="K153" s="22">
        <f>K112</f>
        <v>932275</v>
      </c>
      <c r="O153" s="22">
        <f>SUM(G153:K153)</f>
        <v>6669306</v>
      </c>
    </row>
    <row r="154" spans="1:17">
      <c r="A154" s="33" t="s">
        <v>852</v>
      </c>
      <c r="C154" s="28"/>
      <c r="G154" s="22">
        <f>SUM(G2,G5,G33)</f>
        <v>439599</v>
      </c>
      <c r="H154" s="22">
        <f>SUM(H2,H5,H33)</f>
        <v>103866</v>
      </c>
      <c r="I154" s="22">
        <f>SUM(I2,I5,I33)</f>
        <v>253562</v>
      </c>
      <c r="J154" s="22">
        <f>SUM(J2,J5,J33)</f>
        <v>270452</v>
      </c>
      <c r="K154" s="22">
        <f>SUM(K2,K5,K33)</f>
        <v>122225</v>
      </c>
      <c r="O154" s="22">
        <f>SUM(G154:K154)</f>
        <v>1189704</v>
      </c>
      <c r="Q154" s="124">
        <f>O154/O153</f>
        <v>0.17838497738745232</v>
      </c>
    </row>
    <row r="155" spans="1:17">
      <c r="A155" s="33" t="s">
        <v>850</v>
      </c>
      <c r="C155" s="130"/>
      <c r="G155" s="22">
        <f>G98</f>
        <v>390000</v>
      </c>
      <c r="H155" s="22">
        <f>H98</f>
        <v>418500</v>
      </c>
      <c r="I155" s="22">
        <f>I98</f>
        <v>573500</v>
      </c>
      <c r="J155" s="22">
        <f>J98</f>
        <v>536500</v>
      </c>
      <c r="K155" s="22">
        <f>K98</f>
        <v>558000</v>
      </c>
      <c r="O155" s="22">
        <f>SUM(G155:K155)</f>
        <v>2476500</v>
      </c>
      <c r="Q155" s="124">
        <f>O155/O153</f>
        <v>0.37132799124826482</v>
      </c>
    </row>
    <row r="156" spans="1:17">
      <c r="A156" s="33" t="s">
        <v>478</v>
      </c>
      <c r="C156" s="39"/>
      <c r="G156" s="22">
        <f>-G142</f>
        <v>129612</v>
      </c>
      <c r="H156" s="22">
        <f>-H142</f>
        <v>745693</v>
      </c>
      <c r="I156" s="22">
        <f>-I142</f>
        <v>1038568</v>
      </c>
      <c r="J156" s="22">
        <f>-J142</f>
        <v>725553</v>
      </c>
      <c r="K156" s="22">
        <f>-K142</f>
        <v>308109</v>
      </c>
      <c r="O156" s="22">
        <f>SUM(G156:K156)</f>
        <v>2947535</v>
      </c>
      <c r="P156" s="22" t="s">
        <v>855</v>
      </c>
    </row>
    <row r="157" spans="1:17" s="31" customFormat="1">
      <c r="A157" s="125" t="s">
        <v>853</v>
      </c>
      <c r="C157" s="28"/>
      <c r="D157" s="28"/>
      <c r="E157" s="28"/>
      <c r="F157" s="22"/>
      <c r="G157" s="22">
        <f>G102</f>
        <v>439599</v>
      </c>
      <c r="H157" s="22">
        <f>H102</f>
        <v>103866</v>
      </c>
      <c r="I157" s="22">
        <f>I102</f>
        <v>176062</v>
      </c>
      <c r="J157" s="22">
        <f>J102</f>
        <v>270452</v>
      </c>
      <c r="K157" s="22">
        <f>K102</f>
        <v>122225</v>
      </c>
      <c r="L157" s="22"/>
      <c r="M157" s="22"/>
      <c r="O157" s="22">
        <f>SUM(G157:K157)</f>
        <v>1112204</v>
      </c>
      <c r="P157" s="22">
        <f>O153+O156</f>
        <v>9616841</v>
      </c>
      <c r="Q157" s="124">
        <f>O156/P157</f>
        <v>0.3064972167055689</v>
      </c>
    </row>
    <row r="158" spans="1:17">
      <c r="A158" s="125" t="s">
        <v>854</v>
      </c>
      <c r="B158" s="99"/>
      <c r="C158" s="17"/>
      <c r="G158" s="124">
        <f>G157/G153</f>
        <v>0.29612038304430771</v>
      </c>
      <c r="H158" s="124">
        <f>H157/H153</f>
        <v>7.7591442575116146E-2</v>
      </c>
      <c r="I158" s="124">
        <f>I157/I153</f>
        <v>0.11829539919036501</v>
      </c>
      <c r="J158" s="124">
        <f>J157/J153</f>
        <v>0.18971751975201168</v>
      </c>
      <c r="K158" s="124">
        <f>K157/K153</f>
        <v>0.13110401973666569</v>
      </c>
      <c r="O158" s="124">
        <f>O157/O153</f>
        <v>0.16676457790360796</v>
      </c>
    </row>
    <row r="159" spans="1:17">
      <c r="C159" s="39"/>
    </row>
    <row r="160" spans="1:17" s="31" customFormat="1">
      <c r="C160" s="28"/>
      <c r="D160" s="28"/>
      <c r="E160" s="28"/>
      <c r="F160" s="22"/>
      <c r="G160" s="22"/>
      <c r="H160" s="22"/>
      <c r="I160" s="22"/>
      <c r="J160" s="22"/>
      <c r="K160" s="22"/>
      <c r="L160" s="22"/>
      <c r="M160" s="22"/>
      <c r="N160" s="22"/>
      <c r="O160" s="22"/>
    </row>
    <row r="161" spans="1:16">
      <c r="A161" s="33" t="s">
        <v>852</v>
      </c>
      <c r="C161" s="39"/>
    </row>
    <row r="162" spans="1:16">
      <c r="A162" s="1" t="s">
        <v>187</v>
      </c>
      <c r="B162" s="11" t="s">
        <v>47</v>
      </c>
      <c r="C162" s="28">
        <f>C2</f>
        <v>191456</v>
      </c>
      <c r="D162" s="28">
        <f t="shared" ref="D162:N162" si="121">D2</f>
        <v>159557</v>
      </c>
      <c r="E162" s="28">
        <f t="shared" si="121"/>
        <v>154410</v>
      </c>
      <c r="F162" s="28">
        <f t="shared" si="121"/>
        <v>159557</v>
      </c>
      <c r="G162" s="28">
        <f t="shared" si="121"/>
        <v>0</v>
      </c>
      <c r="H162" s="28">
        <f t="shared" si="121"/>
        <v>0</v>
      </c>
      <c r="I162" s="28">
        <f t="shared" si="121"/>
        <v>77500</v>
      </c>
      <c r="J162" s="28">
        <f t="shared" si="121"/>
        <v>0</v>
      </c>
      <c r="K162" s="28">
        <f t="shared" si="121"/>
        <v>0</v>
      </c>
      <c r="L162" s="28">
        <f t="shared" si="121"/>
        <v>0</v>
      </c>
      <c r="M162" s="28">
        <f t="shared" si="121"/>
        <v>182146</v>
      </c>
      <c r="N162" s="28">
        <f t="shared" si="121"/>
        <v>179100</v>
      </c>
      <c r="O162" s="22">
        <f t="shared" ref="O162:O167" si="122">SUM(C162:N162)</f>
        <v>1103726</v>
      </c>
      <c r="P162" s="11" t="s">
        <v>998</v>
      </c>
    </row>
    <row r="163" spans="1:16" s="31" customFormat="1">
      <c r="A163" s="1" t="s">
        <v>187</v>
      </c>
      <c r="B163" s="22" t="s">
        <v>49</v>
      </c>
      <c r="C163" s="39">
        <f>C4</f>
        <v>861552</v>
      </c>
      <c r="D163" s="39">
        <f t="shared" ref="D163:N163" si="123">D4</f>
        <v>718006.5</v>
      </c>
      <c r="E163" s="39">
        <f t="shared" si="123"/>
        <v>603743.10000000021</v>
      </c>
      <c r="F163" s="39">
        <f t="shared" si="123"/>
        <v>614294.44999999995</v>
      </c>
      <c r="G163" s="39">
        <f t="shared" si="123"/>
        <v>0</v>
      </c>
      <c r="H163" s="39">
        <f t="shared" si="123"/>
        <v>0</v>
      </c>
      <c r="I163" s="39">
        <f t="shared" si="123"/>
        <v>221962.49999999997</v>
      </c>
      <c r="J163" s="39">
        <f t="shared" si="123"/>
        <v>0</v>
      </c>
      <c r="K163" s="39">
        <f t="shared" si="123"/>
        <v>0</v>
      </c>
      <c r="L163" s="39">
        <f t="shared" si="123"/>
        <v>0</v>
      </c>
      <c r="M163" s="39">
        <f t="shared" si="123"/>
        <v>378863.67999999988</v>
      </c>
      <c r="N163" s="39">
        <f t="shared" si="123"/>
        <v>438794.99999999994</v>
      </c>
      <c r="O163" s="32">
        <f t="shared" si="122"/>
        <v>3837217.2299999995</v>
      </c>
    </row>
    <row r="164" spans="1:16" s="99" customFormat="1">
      <c r="A164" s="31" t="s">
        <v>992</v>
      </c>
      <c r="B164" s="11" t="s">
        <v>47</v>
      </c>
      <c r="C164" s="28">
        <f>C33</f>
        <v>0</v>
      </c>
      <c r="D164" s="28">
        <f t="shared" ref="D164:N164" si="124">D33</f>
        <v>0</v>
      </c>
      <c r="E164" s="28">
        <f t="shared" si="124"/>
        <v>48000</v>
      </c>
      <c r="F164" s="28">
        <f t="shared" si="124"/>
        <v>104020</v>
      </c>
      <c r="G164" s="28">
        <f t="shared" si="124"/>
        <v>439599</v>
      </c>
      <c r="H164" s="28">
        <f t="shared" si="124"/>
        <v>103866</v>
      </c>
      <c r="I164" s="28">
        <f t="shared" si="124"/>
        <v>176062</v>
      </c>
      <c r="J164" s="28">
        <f t="shared" si="124"/>
        <v>270452</v>
      </c>
      <c r="K164" s="28">
        <f t="shared" si="124"/>
        <v>122225</v>
      </c>
      <c r="L164" s="28">
        <f t="shared" si="124"/>
        <v>0</v>
      </c>
      <c r="M164" s="28">
        <f t="shared" si="124"/>
        <v>0</v>
      </c>
      <c r="N164" s="28">
        <f t="shared" si="124"/>
        <v>0</v>
      </c>
      <c r="O164" s="22">
        <f t="shared" si="122"/>
        <v>1264224</v>
      </c>
    </row>
    <row r="165" spans="1:16">
      <c r="A165" s="31" t="s">
        <v>992</v>
      </c>
      <c r="B165" s="22" t="s">
        <v>49</v>
      </c>
      <c r="C165" s="39">
        <f>C35</f>
        <v>0</v>
      </c>
      <c r="D165" s="39">
        <f t="shared" ref="D165:N165" si="125">D35</f>
        <v>0</v>
      </c>
      <c r="E165" s="39">
        <f t="shared" si="125"/>
        <v>180424.91650134415</v>
      </c>
      <c r="F165" s="39">
        <f t="shared" si="125"/>
        <v>376478.47631606751</v>
      </c>
      <c r="G165" s="39">
        <f t="shared" si="125"/>
        <v>1408973.2169462026</v>
      </c>
      <c r="H165" s="39">
        <f t="shared" si="125"/>
        <v>353976.90467031702</v>
      </c>
      <c r="I165" s="39">
        <f t="shared" si="125"/>
        <v>500710.09630707366</v>
      </c>
      <c r="J165" s="39">
        <f t="shared" si="125"/>
        <v>700121.00065591012</v>
      </c>
      <c r="K165" s="39">
        <f t="shared" si="125"/>
        <v>282962.38415540959</v>
      </c>
      <c r="L165" s="39">
        <f t="shared" si="125"/>
        <v>0</v>
      </c>
      <c r="M165" s="39">
        <f t="shared" si="125"/>
        <v>0</v>
      </c>
      <c r="N165" s="39">
        <f t="shared" si="125"/>
        <v>0</v>
      </c>
      <c r="O165" s="32">
        <f t="shared" si="122"/>
        <v>3803646.9955523247</v>
      </c>
    </row>
    <row r="166" spans="1:16" s="31" customFormat="1">
      <c r="A166" s="31" t="s">
        <v>993</v>
      </c>
      <c r="B166" s="11" t="s">
        <v>47</v>
      </c>
      <c r="C166" s="28">
        <f>SUM(C162,C164)</f>
        <v>191456</v>
      </c>
      <c r="D166" s="28">
        <f t="shared" ref="D166:N166" si="126">SUM(D162,D164)</f>
        <v>159557</v>
      </c>
      <c r="E166" s="28">
        <f t="shared" si="126"/>
        <v>202410</v>
      </c>
      <c r="F166" s="28">
        <f t="shared" si="126"/>
        <v>263577</v>
      </c>
      <c r="G166" s="28">
        <f t="shared" si="126"/>
        <v>439599</v>
      </c>
      <c r="H166" s="28">
        <f t="shared" si="126"/>
        <v>103866</v>
      </c>
      <c r="I166" s="28">
        <f t="shared" si="126"/>
        <v>253562</v>
      </c>
      <c r="J166" s="28">
        <f t="shared" si="126"/>
        <v>270452</v>
      </c>
      <c r="K166" s="28">
        <f t="shared" si="126"/>
        <v>122225</v>
      </c>
      <c r="L166" s="28">
        <f t="shared" si="126"/>
        <v>0</v>
      </c>
      <c r="M166" s="28">
        <f t="shared" si="126"/>
        <v>182146</v>
      </c>
      <c r="N166" s="28">
        <f t="shared" si="126"/>
        <v>179100</v>
      </c>
      <c r="O166" s="22">
        <f t="shared" si="122"/>
        <v>2367950</v>
      </c>
      <c r="P166" s="124">
        <f>O166/O182</f>
        <v>0.15360040995569624</v>
      </c>
    </row>
    <row r="167" spans="1:16">
      <c r="A167" s="31" t="s">
        <v>993</v>
      </c>
      <c r="B167" s="22" t="s">
        <v>49</v>
      </c>
      <c r="C167" s="496">
        <f>SUM(C163,C165)</f>
        <v>861552</v>
      </c>
      <c r="D167" s="496">
        <f t="shared" ref="D167:N167" si="127">SUM(D163,D165)</f>
        <v>718006.5</v>
      </c>
      <c r="E167" s="496">
        <f t="shared" si="127"/>
        <v>784168.01650134439</v>
      </c>
      <c r="F167" s="496">
        <f t="shared" si="127"/>
        <v>990772.92631606746</v>
      </c>
      <c r="G167" s="496">
        <f t="shared" si="127"/>
        <v>1408973.2169462026</v>
      </c>
      <c r="H167" s="496">
        <f t="shared" si="127"/>
        <v>353976.90467031702</v>
      </c>
      <c r="I167" s="496">
        <f t="shared" si="127"/>
        <v>722672.5963070736</v>
      </c>
      <c r="J167" s="496">
        <f t="shared" si="127"/>
        <v>700121.00065591012</v>
      </c>
      <c r="K167" s="496">
        <f t="shared" si="127"/>
        <v>282962.38415540959</v>
      </c>
      <c r="L167" s="496">
        <f t="shared" si="127"/>
        <v>0</v>
      </c>
      <c r="M167" s="496">
        <f t="shared" si="127"/>
        <v>378863.67999999988</v>
      </c>
      <c r="N167" s="496">
        <f t="shared" si="127"/>
        <v>438794.99999999994</v>
      </c>
      <c r="O167" s="32">
        <f t="shared" si="122"/>
        <v>7640864.2255523242</v>
      </c>
      <c r="P167" s="124">
        <f>O167/O183</f>
        <v>0.15786667810348459</v>
      </c>
    </row>
    <row r="168" spans="1:16">
      <c r="C168" s="39"/>
    </row>
    <row r="169" spans="1:16">
      <c r="A169" s="33" t="s">
        <v>994</v>
      </c>
      <c r="C169" s="39"/>
    </row>
    <row r="170" spans="1:16" s="31" customFormat="1">
      <c r="A170" s="31" t="s">
        <v>992</v>
      </c>
      <c r="B170" s="11" t="s">
        <v>47</v>
      </c>
      <c r="C170" s="22">
        <v>435395</v>
      </c>
      <c r="D170" s="22">
        <v>435395</v>
      </c>
      <c r="E170" s="22">
        <v>421350</v>
      </c>
      <c r="F170" s="22">
        <v>435395</v>
      </c>
      <c r="G170" s="22">
        <v>421350</v>
      </c>
      <c r="H170" s="22">
        <v>435395</v>
      </c>
      <c r="I170" s="22">
        <v>435395</v>
      </c>
      <c r="J170" s="22">
        <v>407305</v>
      </c>
      <c r="K170" s="22">
        <v>435395</v>
      </c>
      <c r="L170" s="22">
        <v>419880</v>
      </c>
      <c r="M170" s="22">
        <v>433876</v>
      </c>
      <c r="N170" s="22">
        <v>419880</v>
      </c>
      <c r="O170" s="22">
        <f>SUM(C170:N170)</f>
        <v>5136011</v>
      </c>
    </row>
    <row r="171" spans="1:16">
      <c r="A171" s="31" t="s">
        <v>992</v>
      </c>
      <c r="B171" s="10" t="s">
        <v>49</v>
      </c>
      <c r="C171" s="39">
        <v>1874375.4749999999</v>
      </c>
      <c r="D171" s="39">
        <v>1883083.38</v>
      </c>
      <c r="E171" s="39">
        <v>1607450.25</v>
      </c>
      <c r="F171" s="32">
        <v>1600076.63</v>
      </c>
      <c r="G171" s="32">
        <v>1548477.75</v>
      </c>
      <c r="H171" s="32">
        <v>1552426.5249999999</v>
      </c>
      <c r="I171" s="32">
        <v>1499490.925</v>
      </c>
      <c r="J171" s="32">
        <v>1358173.68</v>
      </c>
      <c r="K171" s="32">
        <v>1422999.9750000001</v>
      </c>
      <c r="L171" s="32">
        <v>962597.4</v>
      </c>
      <c r="M171" s="32">
        <v>1013298.86</v>
      </c>
      <c r="N171" s="32">
        <v>1077466.2000000002</v>
      </c>
      <c r="O171" s="32">
        <f>SUM(C171:N171)</f>
        <v>17399917.050000001</v>
      </c>
    </row>
    <row r="172" spans="1:16" s="112" customFormat="1">
      <c r="A172" s="112" t="s">
        <v>44</v>
      </c>
      <c r="B172" s="11" t="s">
        <v>47</v>
      </c>
      <c r="C172" s="28">
        <v>334366</v>
      </c>
      <c r="D172" s="28">
        <v>334366</v>
      </c>
      <c r="E172" s="28">
        <v>323580</v>
      </c>
      <c r="F172" s="22">
        <v>334366</v>
      </c>
      <c r="G172" s="22">
        <v>323579</v>
      </c>
      <c r="H172" s="22">
        <v>334366</v>
      </c>
      <c r="I172" s="22">
        <v>334366</v>
      </c>
      <c r="J172" s="22">
        <v>312794</v>
      </c>
      <c r="K172" s="22">
        <v>333754</v>
      </c>
      <c r="L172" s="22">
        <v>322590</v>
      </c>
      <c r="M172" s="22">
        <v>333222</v>
      </c>
      <c r="N172" s="22">
        <v>322590</v>
      </c>
      <c r="O172" s="22">
        <f>SUM(C172:N172)</f>
        <v>3943939</v>
      </c>
    </row>
    <row r="173" spans="1:16" s="112" customFormat="1">
      <c r="A173" s="112" t="s">
        <v>44</v>
      </c>
      <c r="B173" s="10" t="s">
        <v>49</v>
      </c>
      <c r="C173" s="107">
        <v>1461568.78</v>
      </c>
      <c r="D173" s="39">
        <v>1462335.4100000001</v>
      </c>
      <c r="E173" s="39">
        <v>1250669.7000000002</v>
      </c>
      <c r="F173" s="32">
        <v>1249428.96</v>
      </c>
      <c r="G173" s="32">
        <v>1126641.3999999999</v>
      </c>
      <c r="H173" s="32">
        <v>1119255</v>
      </c>
      <c r="I173" s="32">
        <v>1031003.2699999999</v>
      </c>
      <c r="J173" s="32">
        <v>842335.74</v>
      </c>
      <c r="K173" s="32">
        <v>815459.79</v>
      </c>
      <c r="L173" s="32">
        <v>695579.7</v>
      </c>
      <c r="M173" s="32">
        <v>718373.74000000011</v>
      </c>
      <c r="N173" s="32">
        <v>777485.39999999991</v>
      </c>
      <c r="O173" s="32">
        <f>SUM(C173:N173)</f>
        <v>12550136.890000001</v>
      </c>
    </row>
    <row r="174" spans="1:16" s="112" customFormat="1">
      <c r="A174" s="112" t="s">
        <v>993</v>
      </c>
      <c r="B174" s="11" t="s">
        <v>47</v>
      </c>
      <c r="C174" s="107">
        <f>SUM(C170,C172)</f>
        <v>769761</v>
      </c>
      <c r="D174" s="107">
        <f t="shared" ref="D174:N174" si="128">SUM(D170,D172)</f>
        <v>769761</v>
      </c>
      <c r="E174" s="107">
        <f t="shared" si="128"/>
        <v>744930</v>
      </c>
      <c r="F174" s="107">
        <f t="shared" si="128"/>
        <v>769761</v>
      </c>
      <c r="G174" s="107">
        <f t="shared" si="128"/>
        <v>744929</v>
      </c>
      <c r="H174" s="107">
        <f t="shared" si="128"/>
        <v>769761</v>
      </c>
      <c r="I174" s="107">
        <f t="shared" si="128"/>
        <v>769761</v>
      </c>
      <c r="J174" s="107">
        <f t="shared" si="128"/>
        <v>720099</v>
      </c>
      <c r="K174" s="107">
        <f t="shared" si="128"/>
        <v>769149</v>
      </c>
      <c r="L174" s="107">
        <f t="shared" si="128"/>
        <v>742470</v>
      </c>
      <c r="M174" s="107">
        <f t="shared" si="128"/>
        <v>767098</v>
      </c>
      <c r="N174" s="107">
        <f t="shared" si="128"/>
        <v>742470</v>
      </c>
      <c r="O174" s="107">
        <f t="shared" ref="O174" si="129">SUM(O170,O172)</f>
        <v>9079950</v>
      </c>
      <c r="P174" s="124">
        <f>O174/O182</f>
        <v>0.5889837379916063</v>
      </c>
    </row>
    <row r="175" spans="1:16" s="112" customFormat="1">
      <c r="A175" s="112" t="s">
        <v>993</v>
      </c>
      <c r="B175" s="10" t="s">
        <v>49</v>
      </c>
      <c r="C175" s="66">
        <f>SUM(C171,C173)</f>
        <v>3335944.2549999999</v>
      </c>
      <c r="D175" s="66">
        <f t="shared" ref="D175:N175" si="130">SUM(D171,D173)</f>
        <v>3345418.79</v>
      </c>
      <c r="E175" s="66">
        <f t="shared" si="130"/>
        <v>2858119.95</v>
      </c>
      <c r="F175" s="66">
        <f t="shared" si="130"/>
        <v>2849505.59</v>
      </c>
      <c r="G175" s="66">
        <f t="shared" si="130"/>
        <v>2675119.15</v>
      </c>
      <c r="H175" s="66">
        <f t="shared" si="130"/>
        <v>2671681.5249999999</v>
      </c>
      <c r="I175" s="66">
        <f t="shared" si="130"/>
        <v>2530494.1949999998</v>
      </c>
      <c r="J175" s="66">
        <f t="shared" si="130"/>
        <v>2200509.42</v>
      </c>
      <c r="K175" s="66">
        <f t="shared" si="130"/>
        <v>2238459.7650000001</v>
      </c>
      <c r="L175" s="66">
        <f t="shared" si="130"/>
        <v>1658177.1</v>
      </c>
      <c r="M175" s="66">
        <f t="shared" si="130"/>
        <v>1731672.6</v>
      </c>
      <c r="N175" s="66">
        <f t="shared" si="130"/>
        <v>1854951.6</v>
      </c>
      <c r="O175" s="66">
        <f t="shared" ref="O175" si="131">SUM(O171,O173)</f>
        <v>29950053.940000001</v>
      </c>
      <c r="P175" s="124">
        <f>O175/O183</f>
        <v>0.61879329156463392</v>
      </c>
    </row>
    <row r="176" spans="1:16" s="112" customFormat="1">
      <c r="C176" s="39"/>
      <c r="D176" s="39"/>
      <c r="E176" s="39"/>
      <c r="F176" s="32"/>
      <c r="G176" s="32"/>
      <c r="H176" s="32"/>
      <c r="I176" s="32"/>
      <c r="J176" s="32"/>
      <c r="K176" s="32"/>
      <c r="L176" s="32"/>
      <c r="M176" s="32"/>
      <c r="N176" s="32"/>
      <c r="O176" s="32"/>
    </row>
    <row r="177" spans="1:16" s="31" customFormat="1">
      <c r="A177" s="125" t="s">
        <v>995</v>
      </c>
      <c r="C177" s="28"/>
      <c r="D177" s="28"/>
      <c r="E177" s="28"/>
      <c r="F177" s="22"/>
      <c r="G177" s="22"/>
      <c r="H177" s="22"/>
      <c r="I177" s="22"/>
      <c r="J177" s="22"/>
      <c r="K177" s="22"/>
      <c r="L177" s="22"/>
      <c r="M177" s="22"/>
      <c r="N177" s="22"/>
      <c r="O177" s="22"/>
    </row>
    <row r="178" spans="1:16">
      <c r="A178" s="31" t="s">
        <v>992</v>
      </c>
      <c r="B178" s="11" t="s">
        <v>47</v>
      </c>
      <c r="C178" s="28">
        <v>347200</v>
      </c>
      <c r="D178" s="28">
        <v>347200</v>
      </c>
      <c r="E178" s="28">
        <v>225000</v>
      </c>
      <c r="F178" s="22">
        <v>120900</v>
      </c>
      <c r="G178" s="22">
        <v>300000</v>
      </c>
      <c r="H178" s="22">
        <v>465000</v>
      </c>
      <c r="I178" s="22">
        <v>465000</v>
      </c>
      <c r="J178" s="22">
        <v>435000</v>
      </c>
      <c r="K178" s="22">
        <v>306900</v>
      </c>
      <c r="L178" s="22">
        <v>261000</v>
      </c>
      <c r="M178" s="22">
        <v>347200</v>
      </c>
      <c r="N178" s="22">
        <v>348000</v>
      </c>
      <c r="O178" s="22">
        <f>SUM(C178:N178)</f>
        <v>3968400</v>
      </c>
      <c r="P178" s="124">
        <f>O178/O182</f>
        <v>0.25741585205269746</v>
      </c>
    </row>
    <row r="179" spans="1:16">
      <c r="A179" s="31" t="s">
        <v>992</v>
      </c>
      <c r="B179" s="10" t="s">
        <v>49</v>
      </c>
      <c r="C179" s="39">
        <v>1371440</v>
      </c>
      <c r="D179" s="39">
        <v>1378384</v>
      </c>
      <c r="E179" s="39">
        <v>778500</v>
      </c>
      <c r="F179" s="32">
        <v>401388</v>
      </c>
      <c r="G179" s="32">
        <v>933000</v>
      </c>
      <c r="H179" s="32">
        <v>1367100</v>
      </c>
      <c r="I179" s="32">
        <v>1236899.9999999998</v>
      </c>
      <c r="J179" s="32">
        <v>991799.99999999988</v>
      </c>
      <c r="K179" s="32">
        <v>629145</v>
      </c>
      <c r="L179" s="32">
        <v>456750</v>
      </c>
      <c r="M179" s="32">
        <v>565936</v>
      </c>
      <c r="N179" s="32">
        <v>699479.99999999988</v>
      </c>
      <c r="O179" s="32">
        <f>SUM(C179:N179)</f>
        <v>10809823</v>
      </c>
      <c r="P179" s="124">
        <f>O179/O183</f>
        <v>0.22334003033188146</v>
      </c>
    </row>
    <row r="180" spans="1:16">
      <c r="A180" s="31"/>
      <c r="B180" s="31"/>
      <c r="C180" s="107"/>
    </row>
    <row r="181" spans="1:16" s="31" customFormat="1">
      <c r="B181" s="1"/>
      <c r="C181" s="28"/>
      <c r="D181" s="28"/>
      <c r="E181" s="28"/>
      <c r="F181" s="22"/>
      <c r="G181" s="22"/>
      <c r="H181" s="22"/>
      <c r="I181" s="22"/>
      <c r="J181" s="22"/>
      <c r="K181" s="22"/>
      <c r="L181" s="22"/>
      <c r="M181" s="22"/>
      <c r="N181" s="22"/>
      <c r="O181" s="22"/>
    </row>
    <row r="182" spans="1:16" s="112" customFormat="1">
      <c r="A182" s="125" t="s">
        <v>996</v>
      </c>
      <c r="B182" s="11" t="s">
        <v>47</v>
      </c>
      <c r="C182" s="107">
        <f>SUM(C166,C174,C178)</f>
        <v>1308417</v>
      </c>
      <c r="D182" s="107">
        <f t="shared" ref="D182:O182" si="132">SUM(D166,D174,D178)</f>
        <v>1276518</v>
      </c>
      <c r="E182" s="107">
        <f t="shared" si="132"/>
        <v>1172340</v>
      </c>
      <c r="F182" s="107">
        <f t="shared" si="132"/>
        <v>1154238</v>
      </c>
      <c r="G182" s="107">
        <f t="shared" si="132"/>
        <v>1484528</v>
      </c>
      <c r="H182" s="107">
        <f t="shared" si="132"/>
        <v>1338627</v>
      </c>
      <c r="I182" s="107">
        <f t="shared" si="132"/>
        <v>1488323</v>
      </c>
      <c r="J182" s="107">
        <f t="shared" si="132"/>
        <v>1425551</v>
      </c>
      <c r="K182" s="107">
        <f t="shared" si="132"/>
        <v>1198274</v>
      </c>
      <c r="L182" s="107">
        <f t="shared" si="132"/>
        <v>1003470</v>
      </c>
      <c r="M182" s="107">
        <f t="shared" si="132"/>
        <v>1296444</v>
      </c>
      <c r="N182" s="107">
        <f t="shared" si="132"/>
        <v>1269570</v>
      </c>
      <c r="O182" s="107">
        <f t="shared" si="132"/>
        <v>15416300</v>
      </c>
      <c r="P182" s="124">
        <f>P166+P174+P178</f>
        <v>1</v>
      </c>
    </row>
    <row r="183" spans="1:16">
      <c r="A183" s="125" t="s">
        <v>996</v>
      </c>
      <c r="B183" s="10" t="s">
        <v>49</v>
      </c>
      <c r="C183" s="39">
        <f>SUM(C167,C175,C179)</f>
        <v>5568936.2549999999</v>
      </c>
      <c r="D183" s="39">
        <f t="shared" ref="D183:O183" si="133">SUM(D167,D175,D179)</f>
        <v>5441809.29</v>
      </c>
      <c r="E183" s="39">
        <f t="shared" si="133"/>
        <v>4420787.966501344</v>
      </c>
      <c r="F183" s="39">
        <f t="shared" si="133"/>
        <v>4241666.5163160674</v>
      </c>
      <c r="G183" s="39">
        <f t="shared" si="133"/>
        <v>5017092.3669462027</v>
      </c>
      <c r="H183" s="39">
        <f t="shared" si="133"/>
        <v>4392758.4296703171</v>
      </c>
      <c r="I183" s="39">
        <f t="shared" si="133"/>
        <v>4490066.7913070731</v>
      </c>
      <c r="J183" s="39">
        <f t="shared" si="133"/>
        <v>3892430.4206559099</v>
      </c>
      <c r="K183" s="39">
        <f t="shared" si="133"/>
        <v>3150567.1491554095</v>
      </c>
      <c r="L183" s="39">
        <f t="shared" si="133"/>
        <v>2114927.1</v>
      </c>
      <c r="M183" s="39">
        <f t="shared" si="133"/>
        <v>2676472.2799999998</v>
      </c>
      <c r="N183" s="39">
        <f t="shared" si="133"/>
        <v>2993226.6</v>
      </c>
      <c r="O183" s="39">
        <f t="shared" si="133"/>
        <v>48400741.165552326</v>
      </c>
      <c r="P183" s="124">
        <f>P167+P175+P179</f>
        <v>0.99999999999999989</v>
      </c>
    </row>
    <row r="184" spans="1:16" s="31" customFormat="1">
      <c r="C184" s="28"/>
      <c r="D184" s="28"/>
      <c r="E184" s="28"/>
      <c r="F184" s="22"/>
      <c r="G184" s="22"/>
      <c r="H184" s="22"/>
      <c r="I184" s="22"/>
      <c r="J184" s="22"/>
      <c r="K184" s="22"/>
      <c r="L184" s="22"/>
      <c r="M184" s="22"/>
      <c r="N184" s="22"/>
      <c r="O184" s="22"/>
    </row>
    <row r="185" spans="1:16" s="125" customFormat="1">
      <c r="A185" s="125" t="s">
        <v>997</v>
      </c>
      <c r="B185" s="59" t="s">
        <v>47</v>
      </c>
      <c r="C185" s="211">
        <f>C182-C112</f>
        <v>225742</v>
      </c>
      <c r="D185" s="211">
        <f t="shared" ref="D185:O185" si="134">D182-D112</f>
        <v>241859</v>
      </c>
      <c r="E185" s="211">
        <f t="shared" si="134"/>
        <v>219660</v>
      </c>
      <c r="F185" s="211">
        <f t="shared" si="134"/>
        <v>0</v>
      </c>
      <c r="G185" s="211">
        <f t="shared" si="134"/>
        <v>0</v>
      </c>
      <c r="H185" s="211">
        <f t="shared" si="134"/>
        <v>0</v>
      </c>
      <c r="I185" s="211">
        <f t="shared" si="134"/>
        <v>-2</v>
      </c>
      <c r="J185" s="211">
        <f t="shared" si="134"/>
        <v>0</v>
      </c>
      <c r="K185" s="211">
        <f t="shared" si="134"/>
        <v>265999</v>
      </c>
      <c r="L185" s="211">
        <f t="shared" si="134"/>
        <v>0</v>
      </c>
      <c r="M185" s="211">
        <f t="shared" si="134"/>
        <v>192820</v>
      </c>
      <c r="N185" s="211">
        <f t="shared" si="134"/>
        <v>217680</v>
      </c>
      <c r="O185" s="211">
        <f t="shared" si="134"/>
        <v>1363758</v>
      </c>
    </row>
    <row r="186" spans="1:16">
      <c r="A186" s="125" t="s">
        <v>997</v>
      </c>
      <c r="B186" s="10" t="s">
        <v>49</v>
      </c>
      <c r="C186" s="190">
        <f>C183-C113</f>
        <v>940819.31000000052</v>
      </c>
      <c r="D186" s="190">
        <f t="shared" ref="D186:O186" si="135">D183-D113</f>
        <v>1016590.0650000004</v>
      </c>
      <c r="E186" s="190">
        <f t="shared" si="135"/>
        <v>768557.81650134362</v>
      </c>
      <c r="F186" s="190">
        <f t="shared" si="135"/>
        <v>-79824.995000000112</v>
      </c>
      <c r="G186" s="190">
        <f t="shared" si="135"/>
        <v>-129149.20000000019</v>
      </c>
      <c r="H186" s="190">
        <f t="shared" si="135"/>
        <v>-194835</v>
      </c>
      <c r="I186" s="190">
        <f t="shared" si="135"/>
        <v>-268621.12000000011</v>
      </c>
      <c r="J186" s="190">
        <f t="shared" si="135"/>
        <v>-344954.99500000011</v>
      </c>
      <c r="K186" s="190">
        <f t="shared" si="135"/>
        <v>326311.35499999998</v>
      </c>
      <c r="L186" s="190">
        <f t="shared" si="135"/>
        <v>-310500</v>
      </c>
      <c r="M186" s="190">
        <f t="shared" si="135"/>
        <v>289325.54999999981</v>
      </c>
      <c r="N186" s="190">
        <f t="shared" si="135"/>
        <v>418813.20000000019</v>
      </c>
      <c r="O186" s="190">
        <f t="shared" si="135"/>
        <v>2432531.9865013435</v>
      </c>
    </row>
    <row r="187" spans="1:16">
      <c r="C187" s="17">
        <f>C186/C185</f>
        <v>4.167675089261194</v>
      </c>
      <c r="D187" s="17">
        <f t="shared" ref="D187:O187" si="136">D186/D185</f>
        <v>4.2032343844967537</v>
      </c>
      <c r="E187" s="17">
        <f t="shared" si="136"/>
        <v>3.4988519370907021</v>
      </c>
      <c r="F187" s="17"/>
      <c r="G187" s="17"/>
      <c r="H187" s="17"/>
      <c r="I187" s="17"/>
      <c r="J187" s="17"/>
      <c r="K187" s="17"/>
      <c r="L187" s="17"/>
      <c r="M187" s="17">
        <f t="shared" si="136"/>
        <v>1.5004955398817541</v>
      </c>
      <c r="N187" s="17">
        <f t="shared" si="136"/>
        <v>1.9239856670341795</v>
      </c>
      <c r="O187" s="17">
        <f t="shared" si="136"/>
        <v>1.7836976842675487</v>
      </c>
    </row>
  </sheetData>
  <phoneticPr fontId="0" type="noConversion"/>
  <printOptions gridLines="1" gridLinesSet="0"/>
  <pageMargins left="0.75" right="0.75" top="1" bottom="1" header="0.5" footer="0.5"/>
  <pageSetup scale="37" orientation="portrait" horizontalDpi="4294967292" verticalDpi="300" r:id="rId1"/>
  <headerFooter alignWithMargins="0">
    <oddHeader>&amp;A</oddHeader>
    <oddFooter>Page &amp;P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sheetPr codeName="Sheet20"/>
  <dimension ref="A1:AF75"/>
  <sheetViews>
    <sheetView zoomScale="50" workbookViewId="0">
      <pane xSplit="3" ySplit="1" topLeftCell="D2" activePane="bottomRight" state="frozen"/>
      <selection activeCell="I74" sqref="I74"/>
      <selection pane="topRight" activeCell="I74" sqref="I74"/>
      <selection pane="bottomLeft" activeCell="I74" sqref="I74"/>
      <selection pane="bottomRight" activeCell="P67" sqref="P67"/>
    </sheetView>
  </sheetViews>
  <sheetFormatPr defaultColWidth="7.109375" defaultRowHeight="20.25"/>
  <cols>
    <col min="1" max="1" width="17.88671875" style="44" bestFit="1" customWidth="1"/>
    <col min="2" max="2" width="19.88671875" style="44" bestFit="1" customWidth="1"/>
    <col min="3" max="3" width="7.88671875" style="44" bestFit="1" customWidth="1"/>
    <col min="4" max="4" width="12.77734375" style="70" customWidth="1"/>
    <col min="5" max="5" width="12.6640625" style="70" bestFit="1" customWidth="1"/>
    <col min="6" max="7" width="12.109375" style="70" bestFit="1" customWidth="1"/>
    <col min="8" max="9" width="13.88671875" style="70" bestFit="1" customWidth="1"/>
    <col min="10" max="10" width="14" style="70" bestFit="1" customWidth="1"/>
    <col min="11" max="11" width="14.88671875" style="70" bestFit="1" customWidth="1"/>
    <col min="12" max="15" width="12.109375" style="70" bestFit="1" customWidth="1"/>
    <col min="16" max="16" width="22.6640625" style="70" bestFit="1" customWidth="1"/>
    <col min="17" max="17" width="11.44140625" style="44" bestFit="1" customWidth="1"/>
    <col min="18" max="19" width="8.77734375" style="44" bestFit="1" customWidth="1"/>
    <col min="20" max="20" width="12.33203125" style="44" bestFit="1" customWidth="1"/>
    <col min="21" max="21" width="8.77734375" style="44" bestFit="1" customWidth="1"/>
    <col min="22" max="22" width="10.109375" style="44" bestFit="1" customWidth="1"/>
    <col min="23" max="31" width="7.109375" style="44" customWidth="1"/>
    <col min="32" max="32" width="10.109375" style="44" bestFit="1" customWidth="1"/>
    <col min="33" max="16384" width="7.109375" style="44"/>
  </cols>
  <sheetData>
    <row r="1" spans="1:32">
      <c r="D1" s="417">
        <v>40725</v>
      </c>
      <c r="E1" s="417">
        <v>40756</v>
      </c>
      <c r="F1" s="417">
        <v>40787</v>
      </c>
      <c r="G1" s="417">
        <v>40817</v>
      </c>
      <c r="H1" s="417">
        <v>40848</v>
      </c>
      <c r="I1" s="417">
        <v>40878</v>
      </c>
      <c r="J1" s="417">
        <v>40909</v>
      </c>
      <c r="K1" s="417">
        <v>40940</v>
      </c>
      <c r="L1" s="417">
        <v>40969</v>
      </c>
      <c r="M1" s="417">
        <v>41000</v>
      </c>
      <c r="N1" s="417">
        <v>41030</v>
      </c>
      <c r="O1" s="417">
        <v>41061</v>
      </c>
      <c r="P1" s="91" t="s">
        <v>857</v>
      </c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5"/>
    </row>
    <row r="2" spans="1:32">
      <c r="D2" s="24"/>
      <c r="F2" s="24"/>
      <c r="G2" s="24"/>
      <c r="H2" s="24"/>
      <c r="I2" s="24"/>
      <c r="J2" s="55"/>
      <c r="K2" s="24"/>
      <c r="L2" s="55"/>
      <c r="M2" s="24"/>
      <c r="N2" s="55"/>
      <c r="O2" s="24"/>
      <c r="T2" s="47"/>
      <c r="U2" s="47"/>
      <c r="V2" s="10"/>
      <c r="W2" s="10"/>
      <c r="X2" s="10"/>
      <c r="Y2" s="10"/>
      <c r="Z2" s="46"/>
      <c r="AA2" s="10"/>
      <c r="AB2" s="46"/>
      <c r="AC2" s="10"/>
      <c r="AD2" s="46"/>
      <c r="AE2" s="10"/>
      <c r="AF2" s="47"/>
    </row>
    <row r="3" spans="1:32" s="58" customFormat="1">
      <c r="A3" s="56" t="s">
        <v>187</v>
      </c>
      <c r="B3" s="56" t="s">
        <v>251</v>
      </c>
      <c r="C3" s="57" t="s">
        <v>47</v>
      </c>
      <c r="D3" s="326"/>
      <c r="E3" s="71"/>
      <c r="F3" s="430">
        <v>2</v>
      </c>
      <c r="G3" s="423">
        <v>73</v>
      </c>
      <c r="H3" s="438">
        <v>416</v>
      </c>
      <c r="I3" s="452">
        <v>108177</v>
      </c>
      <c r="J3" s="456">
        <v>152038</v>
      </c>
      <c r="K3" s="456">
        <v>58847</v>
      </c>
      <c r="L3" s="423">
        <v>14566</v>
      </c>
      <c r="M3" s="396">
        <v>177311</v>
      </c>
      <c r="N3" s="491"/>
      <c r="O3" s="492">
        <v>64</v>
      </c>
      <c r="P3" s="57">
        <f>SUM(D3:O3)</f>
        <v>511494</v>
      </c>
      <c r="S3" s="48"/>
      <c r="T3" s="22"/>
      <c r="U3" s="22"/>
      <c r="V3" s="22"/>
      <c r="W3" s="22"/>
      <c r="X3" s="22"/>
      <c r="Y3" s="22"/>
      <c r="Z3" s="59"/>
      <c r="AA3" s="59"/>
      <c r="AB3" s="59"/>
      <c r="AC3" s="59"/>
      <c r="AD3" s="22"/>
      <c r="AE3" s="22"/>
      <c r="AF3" s="48"/>
    </row>
    <row r="4" spans="1:32" s="63" customFormat="1">
      <c r="A4" s="60"/>
      <c r="B4" s="60"/>
      <c r="C4" s="61" t="s">
        <v>48</v>
      </c>
      <c r="D4" s="17"/>
      <c r="E4" s="17"/>
      <c r="F4" s="398">
        <f t="shared" ref="F4:K4" si="0">F5/F3</f>
        <v>2.5000000000000001E-2</v>
      </c>
      <c r="G4" s="398">
        <f t="shared" si="0"/>
        <v>2.6986301369863012E-2</v>
      </c>
      <c r="H4" s="439">
        <f t="shared" si="0"/>
        <v>2.5192307692307694E-2</v>
      </c>
      <c r="I4" s="398">
        <f t="shared" si="0"/>
        <v>2.6549821126487145E-2</v>
      </c>
      <c r="J4" s="398">
        <f t="shared" si="0"/>
        <v>2.5199950012496874E-2</v>
      </c>
      <c r="K4" s="398">
        <f t="shared" si="0"/>
        <v>2.5199925229833296E-2</v>
      </c>
      <c r="L4" s="398">
        <f>L5/L3</f>
        <v>2.5199780310311684E-2</v>
      </c>
      <c r="M4" s="398">
        <f>M5/M3</f>
        <v>3.6393681159093347E-2</v>
      </c>
      <c r="N4" s="17"/>
      <c r="O4" s="398">
        <f>O5/O3</f>
        <v>-2.5156250000000002E-2</v>
      </c>
      <c r="P4" s="61">
        <f>P5/P3</f>
        <v>1.6742933445944623E-2</v>
      </c>
      <c r="S4" s="62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62"/>
    </row>
    <row r="5" spans="1:32" s="68" customFormat="1">
      <c r="A5" s="64"/>
      <c r="B5" s="64"/>
      <c r="C5" s="65" t="s">
        <v>49</v>
      </c>
      <c r="D5" s="39"/>
      <c r="E5" s="228"/>
      <c r="F5" s="431">
        <v>0.05</v>
      </c>
      <c r="G5" s="434">
        <v>1.97</v>
      </c>
      <c r="H5" s="440">
        <v>10.48</v>
      </c>
      <c r="I5" s="434">
        <v>2872.08</v>
      </c>
      <c r="J5" s="434">
        <v>3831.35</v>
      </c>
      <c r="K5" s="434">
        <v>1482.94</v>
      </c>
      <c r="L5" s="434">
        <v>367.06</v>
      </c>
      <c r="M5" s="434">
        <v>6453</v>
      </c>
      <c r="N5" s="39"/>
      <c r="O5" s="400">
        <v>-1.61</v>
      </c>
      <c r="P5" s="65">
        <f>SUM(H5:L5)</f>
        <v>8563.91</v>
      </c>
      <c r="S5" s="67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67"/>
    </row>
    <row r="6" spans="1:32">
      <c r="A6" s="69"/>
      <c r="B6" s="69"/>
      <c r="C6" s="69"/>
      <c r="D6" s="24"/>
      <c r="E6" s="24"/>
      <c r="F6" s="24"/>
      <c r="G6" s="24"/>
      <c r="H6" s="24"/>
      <c r="I6" s="24"/>
      <c r="J6" s="55"/>
      <c r="K6" s="24"/>
      <c r="L6" s="24"/>
      <c r="M6" s="24"/>
      <c r="N6" s="24"/>
      <c r="O6" s="24"/>
      <c r="T6" s="46"/>
      <c r="U6" s="10"/>
      <c r="V6" s="10"/>
      <c r="W6" s="10"/>
      <c r="X6" s="10"/>
      <c r="Y6" s="10"/>
      <c r="Z6" s="46"/>
      <c r="AA6" s="10"/>
      <c r="AB6" s="10"/>
      <c r="AC6" s="10"/>
      <c r="AD6" s="10"/>
      <c r="AE6" s="10"/>
      <c r="AF6" s="47"/>
    </row>
    <row r="7" spans="1:32">
      <c r="A7" s="56" t="s">
        <v>187</v>
      </c>
      <c r="B7" s="56" t="s">
        <v>900</v>
      </c>
      <c r="C7" s="57" t="s">
        <v>47</v>
      </c>
      <c r="D7" s="24"/>
      <c r="E7" s="24"/>
      <c r="F7" s="24"/>
      <c r="G7" s="24"/>
      <c r="H7" s="396">
        <v>9659</v>
      </c>
      <c r="I7" s="396">
        <v>270439</v>
      </c>
      <c r="J7" s="396">
        <v>209995</v>
      </c>
      <c r="K7" s="396">
        <v>220597</v>
      </c>
      <c r="L7" s="396">
        <v>31429</v>
      </c>
      <c r="M7" s="28"/>
      <c r="N7" s="24"/>
      <c r="O7" s="24"/>
      <c r="T7" s="46"/>
      <c r="U7" s="10"/>
      <c r="V7" s="10"/>
      <c r="W7" s="10"/>
      <c r="X7" s="10"/>
      <c r="Y7" s="10"/>
      <c r="Z7" s="46"/>
      <c r="AA7" s="10"/>
      <c r="AB7" s="10"/>
      <c r="AC7" s="10"/>
      <c r="AD7" s="10"/>
      <c r="AE7" s="10"/>
      <c r="AF7" s="47"/>
    </row>
    <row r="8" spans="1:32">
      <c r="A8" s="69"/>
      <c r="B8" s="60"/>
      <c r="C8" s="61" t="s">
        <v>48</v>
      </c>
      <c r="D8" s="24"/>
      <c r="E8" s="24"/>
      <c r="F8" s="24"/>
      <c r="G8" s="24"/>
      <c r="H8" s="441">
        <f>H9/H7</f>
        <v>2.5200331297235739E-2</v>
      </c>
      <c r="I8" s="398">
        <f>I9/I7</f>
        <v>2.5200026623379022E-2</v>
      </c>
      <c r="J8" s="398">
        <f>J9/J7</f>
        <v>2.5199980951927426E-2</v>
      </c>
      <c r="K8" s="398">
        <f>K9/K7</f>
        <v>2.519998005412585E-2</v>
      </c>
      <c r="L8" s="488">
        <f>L9/L7</f>
        <v>2.5200292723281045E-2</v>
      </c>
      <c r="M8" s="17"/>
      <c r="N8" s="24"/>
      <c r="O8" s="24"/>
      <c r="T8" s="46"/>
      <c r="U8" s="10"/>
      <c r="V8" s="10"/>
      <c r="W8" s="10"/>
      <c r="X8" s="10"/>
      <c r="Y8" s="10"/>
      <c r="Z8" s="46"/>
      <c r="AA8" s="10"/>
      <c r="AB8" s="10"/>
      <c r="AC8" s="10"/>
      <c r="AD8" s="10"/>
      <c r="AE8" s="10"/>
      <c r="AF8" s="47"/>
    </row>
    <row r="9" spans="1:32">
      <c r="A9" s="69"/>
      <c r="B9" s="64"/>
      <c r="C9" s="65" t="s">
        <v>49</v>
      </c>
      <c r="D9" s="24"/>
      <c r="E9" s="24"/>
      <c r="F9" s="24"/>
      <c r="G9" s="24"/>
      <c r="H9" s="400">
        <v>243.41</v>
      </c>
      <c r="I9" s="400">
        <v>6815.07</v>
      </c>
      <c r="J9" s="400">
        <v>5291.87</v>
      </c>
      <c r="K9" s="400">
        <v>5559.04</v>
      </c>
      <c r="L9" s="400">
        <v>792.02</v>
      </c>
      <c r="M9" s="39"/>
      <c r="N9" s="24"/>
      <c r="O9" s="24"/>
      <c r="T9" s="46"/>
      <c r="U9" s="10"/>
      <c r="V9" s="10"/>
      <c r="W9" s="10"/>
      <c r="X9" s="10"/>
      <c r="Y9" s="10"/>
      <c r="Z9" s="46"/>
      <c r="AA9" s="10"/>
      <c r="AB9" s="10"/>
      <c r="AC9" s="10"/>
      <c r="AD9" s="10"/>
      <c r="AE9" s="10"/>
      <c r="AF9" s="47"/>
    </row>
    <row r="10" spans="1:32">
      <c r="A10" s="69"/>
      <c r="B10" s="69"/>
      <c r="C10" s="69"/>
      <c r="D10" s="24"/>
      <c r="E10" s="24"/>
      <c r="F10" s="24"/>
      <c r="G10" s="24"/>
      <c r="H10" s="24"/>
      <c r="I10" s="24"/>
      <c r="J10" s="55"/>
      <c r="K10" s="24"/>
      <c r="L10" s="24"/>
      <c r="M10" s="24"/>
      <c r="N10" s="24"/>
      <c r="O10" s="24"/>
      <c r="T10" s="46"/>
      <c r="U10" s="10"/>
      <c r="V10" s="10"/>
      <c r="W10" s="10"/>
      <c r="X10" s="10"/>
      <c r="Y10" s="10"/>
      <c r="Z10" s="46"/>
      <c r="AA10" s="10"/>
      <c r="AB10" s="10"/>
      <c r="AC10" s="10"/>
      <c r="AD10" s="10"/>
      <c r="AE10" s="10"/>
      <c r="AF10" s="47"/>
    </row>
    <row r="11" spans="1:32">
      <c r="A11" s="69" t="s">
        <v>187</v>
      </c>
      <c r="B11" s="69" t="s">
        <v>252</v>
      </c>
      <c r="C11" s="70" t="s">
        <v>47</v>
      </c>
      <c r="D11" s="383">
        <v>197994</v>
      </c>
      <c r="E11" s="423">
        <v>166919</v>
      </c>
      <c r="F11" s="423">
        <v>161526</v>
      </c>
      <c r="G11" s="423">
        <v>166839</v>
      </c>
      <c r="H11" s="426">
        <v>20611</v>
      </c>
      <c r="I11" s="57"/>
      <c r="J11" s="57"/>
      <c r="K11" s="57"/>
      <c r="L11" s="57"/>
      <c r="M11" s="423">
        <v>5842</v>
      </c>
      <c r="N11" s="423">
        <v>190178</v>
      </c>
      <c r="O11" s="423">
        <v>188498</v>
      </c>
      <c r="P11" s="57">
        <f>SUM(D11:O11)</f>
        <v>1098407</v>
      </c>
      <c r="S11" s="47"/>
      <c r="T11" s="48"/>
      <c r="U11" s="48"/>
      <c r="V11" s="22"/>
      <c r="W11" s="22"/>
      <c r="X11" s="48"/>
      <c r="Y11" s="48"/>
      <c r="Z11" s="48"/>
      <c r="AA11" s="72"/>
      <c r="AB11" s="48"/>
      <c r="AC11" s="48"/>
      <c r="AD11" s="48"/>
      <c r="AE11" s="48"/>
      <c r="AF11" s="48"/>
    </row>
    <row r="12" spans="1:32" s="63" customFormat="1">
      <c r="A12" s="60"/>
      <c r="B12" s="60"/>
      <c r="C12" s="61" t="s">
        <v>48</v>
      </c>
      <c r="D12" s="384">
        <f>D13/D11</f>
        <v>2.4199975756841116E-2</v>
      </c>
      <c r="E12" s="424">
        <f>E13/E11</f>
        <v>2.4200001198185946E-2</v>
      </c>
      <c r="F12" s="424">
        <f>F13/F11</f>
        <v>2.4200066862300806E-2</v>
      </c>
      <c r="G12" s="424">
        <f>G13/G11</f>
        <v>2.4199977223550849E-2</v>
      </c>
      <c r="H12" s="424">
        <f>H13/H11</f>
        <v>2.3959050992188636E-2</v>
      </c>
      <c r="I12" s="73"/>
      <c r="J12" s="73"/>
      <c r="K12" s="73"/>
      <c r="L12" s="73"/>
      <c r="M12" s="424">
        <f>M13/M11</f>
        <v>2.8300239643957552E-2</v>
      </c>
      <c r="N12" s="424">
        <f>N13/N11</f>
        <v>2.8298383619556413E-2</v>
      </c>
      <c r="O12" s="424">
        <f>O13/O11</f>
        <v>2.8299981962673342E-2</v>
      </c>
      <c r="P12" s="61">
        <f>+P13/P11</f>
        <v>2.5630481233276922E-2</v>
      </c>
      <c r="S12" s="62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62"/>
    </row>
    <row r="13" spans="1:32">
      <c r="A13" s="69"/>
      <c r="B13" s="69"/>
      <c r="C13" s="70" t="s">
        <v>49</v>
      </c>
      <c r="D13" s="385">
        <v>4791.45</v>
      </c>
      <c r="E13" s="425">
        <v>4039.44</v>
      </c>
      <c r="F13" s="425">
        <v>3908.94</v>
      </c>
      <c r="G13" s="425">
        <v>4037.5</v>
      </c>
      <c r="H13" s="425">
        <v>493.82</v>
      </c>
      <c r="I13" s="54"/>
      <c r="J13" s="54"/>
      <c r="K13" s="54"/>
      <c r="L13" s="54"/>
      <c r="M13" s="425">
        <v>165.33</v>
      </c>
      <c r="N13" s="425">
        <v>5381.73</v>
      </c>
      <c r="O13" s="425">
        <v>5334.49</v>
      </c>
      <c r="P13" s="54">
        <f>SUM(D13:O13)</f>
        <v>28152.700000000004</v>
      </c>
      <c r="S13" s="47"/>
      <c r="T13" s="53"/>
      <c r="U13" s="53"/>
      <c r="V13" s="53"/>
      <c r="W13" s="53"/>
      <c r="X13" s="47"/>
      <c r="Y13" s="47"/>
      <c r="Z13" s="47"/>
      <c r="AA13" s="47"/>
      <c r="AB13" s="47"/>
      <c r="AC13" s="47"/>
      <c r="AD13" s="53"/>
      <c r="AE13" s="53"/>
      <c r="AF13" s="53"/>
    </row>
    <row r="14" spans="1:32">
      <c r="A14" s="69"/>
      <c r="B14" s="69"/>
      <c r="C14" s="70"/>
      <c r="S14" s="47"/>
      <c r="T14" s="53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</row>
    <row r="15" spans="1:32" s="78" customFormat="1">
      <c r="A15" s="75" t="s">
        <v>187</v>
      </c>
      <c r="B15" s="75" t="s">
        <v>253</v>
      </c>
      <c r="C15" s="76" t="s">
        <v>47</v>
      </c>
      <c r="D15" s="76"/>
      <c r="E15" s="76"/>
      <c r="F15" s="76"/>
      <c r="G15" s="76"/>
      <c r="H15" s="71"/>
      <c r="I15" s="423">
        <v>377964</v>
      </c>
      <c r="J15" s="438">
        <v>283572</v>
      </c>
      <c r="K15" s="459">
        <v>276644</v>
      </c>
      <c r="L15" s="459">
        <v>49651</v>
      </c>
      <c r="M15" s="459">
        <f>90313+86824</f>
        <v>177137</v>
      </c>
      <c r="N15" s="76"/>
      <c r="O15" s="76"/>
      <c r="P15" s="76">
        <f>SUM(D15:O15)</f>
        <v>1164968</v>
      </c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</row>
    <row r="16" spans="1:32" s="84" customFormat="1">
      <c r="A16" s="79"/>
      <c r="B16" s="79"/>
      <c r="C16" s="80" t="s">
        <v>48</v>
      </c>
      <c r="D16" s="327"/>
      <c r="E16" s="17"/>
      <c r="F16" s="17"/>
      <c r="G16" s="17"/>
      <c r="H16" s="81"/>
      <c r="I16" s="441">
        <f>I17/I15</f>
        <v>1.9298319416664021E-2</v>
      </c>
      <c r="J16" s="441">
        <f>J17/J15</f>
        <v>1.9300001410576501E-2</v>
      </c>
      <c r="K16" s="441">
        <f>K17/K15</f>
        <v>1.9300002891803184E-2</v>
      </c>
      <c r="L16" s="441">
        <f>L17/L15</f>
        <v>2.0549636462508306E-2</v>
      </c>
      <c r="M16" s="441">
        <f>M17/M15</f>
        <v>1.9296420284864255E-2</v>
      </c>
      <c r="N16" s="327"/>
      <c r="O16" s="327"/>
      <c r="P16" s="80">
        <f>+P17/P15</f>
        <v>1.9352171046758366E-2</v>
      </c>
      <c r="S16" s="83"/>
      <c r="T16" s="16"/>
      <c r="U16" s="16"/>
      <c r="V16" s="50"/>
      <c r="W16" s="50"/>
      <c r="X16" s="82"/>
      <c r="Y16" s="82"/>
      <c r="Z16" s="82"/>
      <c r="AA16" s="82"/>
      <c r="AB16" s="50"/>
      <c r="AC16" s="50"/>
      <c r="AD16" s="50"/>
      <c r="AE16" s="50"/>
      <c r="AF16" s="83"/>
    </row>
    <row r="17" spans="1:32" s="86" customFormat="1">
      <c r="A17" s="85"/>
      <c r="B17" s="85"/>
      <c r="C17" s="54" t="s">
        <v>49</v>
      </c>
      <c r="D17" s="54"/>
      <c r="E17" s="54"/>
      <c r="F17" s="54"/>
      <c r="G17" s="54"/>
      <c r="H17" s="26"/>
      <c r="I17" s="397">
        <v>7294.07</v>
      </c>
      <c r="J17" s="397">
        <v>5472.94</v>
      </c>
      <c r="K17" s="397">
        <v>5339.23</v>
      </c>
      <c r="L17" s="397">
        <v>1020.31</v>
      </c>
      <c r="M17" s="425">
        <f>1743.04+1675.07</f>
        <v>3418.1099999999997</v>
      </c>
      <c r="N17" s="54"/>
      <c r="O17" s="54"/>
      <c r="P17" s="54">
        <f>SUM(D17:O17)</f>
        <v>22544.66</v>
      </c>
      <c r="S17" s="53"/>
      <c r="T17" s="53"/>
      <c r="U17" s="53"/>
      <c r="V17" s="53"/>
      <c r="W17" s="53"/>
      <c r="X17" s="25"/>
      <c r="Y17" s="25"/>
      <c r="Z17" s="25"/>
      <c r="AA17" s="25"/>
      <c r="AB17" s="53"/>
      <c r="AC17" s="53"/>
      <c r="AD17" s="53"/>
      <c r="AE17" s="53"/>
      <c r="AF17" s="53"/>
    </row>
    <row r="18" spans="1:32" s="86" customFormat="1">
      <c r="C18" s="53"/>
      <c r="D18" s="54"/>
      <c r="E18" s="54"/>
      <c r="F18" s="54"/>
      <c r="G18" s="54"/>
      <c r="H18" s="26"/>
      <c r="I18" s="26"/>
      <c r="J18" s="26"/>
      <c r="K18" s="26"/>
      <c r="L18" s="54"/>
      <c r="M18" s="54"/>
      <c r="N18" s="54"/>
      <c r="O18" s="54"/>
      <c r="P18" s="54"/>
      <c r="S18" s="53"/>
      <c r="T18" s="53"/>
      <c r="U18" s="53"/>
      <c r="V18" s="53"/>
      <c r="W18" s="53"/>
      <c r="X18" s="25"/>
      <c r="Y18" s="25"/>
      <c r="Z18" s="25"/>
      <c r="AA18" s="25"/>
      <c r="AB18" s="53"/>
      <c r="AC18" s="53"/>
      <c r="AD18" s="53"/>
      <c r="AE18" s="53"/>
      <c r="AF18" s="53"/>
    </row>
    <row r="19" spans="1:32">
      <c r="A19" s="44" t="s">
        <v>44</v>
      </c>
      <c r="B19" s="44" t="s">
        <v>866</v>
      </c>
      <c r="C19" s="47" t="s">
        <v>47</v>
      </c>
      <c r="D19" s="386">
        <v>12028</v>
      </c>
      <c r="E19" s="386">
        <v>12028</v>
      </c>
      <c r="F19" s="426">
        <v>11130</v>
      </c>
      <c r="G19" s="426">
        <v>11501</v>
      </c>
      <c r="H19" s="426">
        <v>10250</v>
      </c>
      <c r="I19" s="426">
        <v>11749</v>
      </c>
      <c r="J19" s="426">
        <v>11750</v>
      </c>
      <c r="K19" s="426">
        <v>10579</v>
      </c>
      <c r="L19" s="426">
        <v>11501</v>
      </c>
      <c r="M19" s="426">
        <v>11580</v>
      </c>
      <c r="N19" s="426">
        <v>11501</v>
      </c>
      <c r="O19" s="426">
        <v>11130</v>
      </c>
      <c r="P19" s="57">
        <f>SUM(D19:O19)</f>
        <v>136727</v>
      </c>
      <c r="S19" s="47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</row>
    <row r="20" spans="1:32" s="63" customFormat="1">
      <c r="C20" s="62" t="s">
        <v>48</v>
      </c>
      <c r="D20" s="73">
        <v>4.3799999999999999E-2</v>
      </c>
      <c r="E20" s="73">
        <v>4.3799999999999999E-2</v>
      </c>
      <c r="F20" s="73">
        <v>4.3799999999999999E-2</v>
      </c>
      <c r="G20" s="73">
        <v>4.3799999999999999E-2</v>
      </c>
      <c r="H20" s="73">
        <v>4.3799999999999999E-2</v>
      </c>
      <c r="I20" s="73">
        <v>4.3799999999999999E-2</v>
      </c>
      <c r="J20" s="73">
        <v>4.3799999999999999E-2</v>
      </c>
      <c r="K20" s="73">
        <v>4.3799999999999999E-2</v>
      </c>
      <c r="L20" s="73">
        <v>4.3799999999999999E-2</v>
      </c>
      <c r="M20" s="73">
        <v>5.0349999999999999E-2</v>
      </c>
      <c r="N20" s="73">
        <v>5.0349999999999999E-2</v>
      </c>
      <c r="O20" s="73">
        <v>5.0349999999999999E-2</v>
      </c>
      <c r="P20" s="61"/>
      <c r="S20" s="62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62"/>
    </row>
    <row r="21" spans="1:32">
      <c r="C21" s="47" t="s">
        <v>49</v>
      </c>
      <c r="D21" s="54">
        <f t="shared" ref="D21:K21" si="1">D19*D20</f>
        <v>526.82640000000004</v>
      </c>
      <c r="E21" s="54">
        <f t="shared" si="1"/>
        <v>526.82640000000004</v>
      </c>
      <c r="F21" s="54">
        <f t="shared" si="1"/>
        <v>487.49399999999997</v>
      </c>
      <c r="G21" s="54">
        <f t="shared" si="1"/>
        <v>503.74379999999996</v>
      </c>
      <c r="H21" s="54">
        <f t="shared" si="1"/>
        <v>448.95</v>
      </c>
      <c r="I21" s="54">
        <f t="shared" si="1"/>
        <v>514.60619999999994</v>
      </c>
      <c r="J21" s="54">
        <f t="shared" si="1"/>
        <v>514.65</v>
      </c>
      <c r="K21" s="54">
        <f t="shared" si="1"/>
        <v>463.36019999999996</v>
      </c>
      <c r="L21" s="54">
        <f t="shared" ref="L21:M21" si="2">L19*L20</f>
        <v>503.74379999999996</v>
      </c>
      <c r="M21" s="54">
        <f t="shared" si="2"/>
        <v>583.053</v>
      </c>
      <c r="N21" s="54">
        <f t="shared" ref="N21:O21" si="3">N19*N20</f>
        <v>579.07534999999996</v>
      </c>
      <c r="O21" s="54">
        <f t="shared" si="3"/>
        <v>560.39549999999997</v>
      </c>
      <c r="P21" s="54">
        <f>SUM(D21:O21)</f>
        <v>6212.7246499999992</v>
      </c>
      <c r="S21" s="47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</row>
    <row r="22" spans="1:32">
      <c r="C22" s="47"/>
      <c r="L22" s="487"/>
      <c r="P22" s="54"/>
      <c r="S22" s="47"/>
      <c r="T22" s="53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53"/>
    </row>
    <row r="23" spans="1:32">
      <c r="A23" s="87" t="s">
        <v>187</v>
      </c>
      <c r="B23" s="87" t="s">
        <v>0</v>
      </c>
      <c r="C23" s="47" t="s">
        <v>47</v>
      </c>
      <c r="D23" s="57">
        <f t="shared" ref="D23:I23" si="4">SUM(D3,D11,D15,D19)</f>
        <v>210022</v>
      </c>
      <c r="E23" s="57">
        <f t="shared" si="4"/>
        <v>178947</v>
      </c>
      <c r="F23" s="57">
        <f t="shared" si="4"/>
        <v>172658</v>
      </c>
      <c r="G23" s="57">
        <f t="shared" si="4"/>
        <v>178413</v>
      </c>
      <c r="H23" s="57">
        <f t="shared" si="4"/>
        <v>31277</v>
      </c>
      <c r="I23" s="57">
        <f t="shared" si="4"/>
        <v>497890</v>
      </c>
      <c r="J23" s="57">
        <f t="shared" ref="J23:O23" si="5">SUM(J3,J11,J15,J19)</f>
        <v>447360</v>
      </c>
      <c r="K23" s="57">
        <f t="shared" si="5"/>
        <v>346070</v>
      </c>
      <c r="L23" s="57">
        <f t="shared" si="5"/>
        <v>75718</v>
      </c>
      <c r="M23" s="57">
        <f t="shared" si="5"/>
        <v>371870</v>
      </c>
      <c r="N23" s="57">
        <f t="shared" si="5"/>
        <v>201679</v>
      </c>
      <c r="O23" s="57">
        <f t="shared" si="5"/>
        <v>199692</v>
      </c>
      <c r="P23" s="57">
        <f>SUM(D23:O23)</f>
        <v>2911596</v>
      </c>
      <c r="Q23" s="87"/>
      <c r="R23" s="87"/>
      <c r="S23" s="47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</row>
    <row r="24" spans="1:32">
      <c r="C24" s="47" t="s">
        <v>49</v>
      </c>
      <c r="D24" s="57">
        <f t="shared" ref="D24:I24" si="6">SUM(D5,D13,D17,D21)</f>
        <v>5318.2763999999997</v>
      </c>
      <c r="E24" s="57">
        <f t="shared" si="6"/>
        <v>4566.2664000000004</v>
      </c>
      <c r="F24" s="57">
        <f t="shared" si="6"/>
        <v>4396.4840000000004</v>
      </c>
      <c r="G24" s="57">
        <f t="shared" si="6"/>
        <v>4543.2137999999995</v>
      </c>
      <c r="H24" s="57">
        <f t="shared" si="6"/>
        <v>953.25</v>
      </c>
      <c r="I24" s="57">
        <f t="shared" si="6"/>
        <v>10680.7562</v>
      </c>
      <c r="J24" s="57">
        <f t="shared" ref="J24:O24" si="7">SUM(J5,J13,J17,J21)</f>
        <v>9818.9399999999987</v>
      </c>
      <c r="K24" s="57">
        <f t="shared" si="7"/>
        <v>7285.5302000000001</v>
      </c>
      <c r="L24" s="57">
        <f t="shared" si="7"/>
        <v>1891.1137999999999</v>
      </c>
      <c r="M24" s="57">
        <f t="shared" si="7"/>
        <v>10619.492999999999</v>
      </c>
      <c r="N24" s="57">
        <f t="shared" si="7"/>
        <v>5960.8053499999996</v>
      </c>
      <c r="O24" s="57">
        <f t="shared" si="7"/>
        <v>5893.2754999999997</v>
      </c>
      <c r="P24" s="54">
        <f>SUM(D24:O24)</f>
        <v>71927.404649999997</v>
      </c>
      <c r="S24" s="47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53"/>
    </row>
    <row r="25" spans="1:32">
      <c r="C25" s="47" t="s">
        <v>48</v>
      </c>
      <c r="D25" s="314">
        <f t="shared" ref="D25:L25" si="8">+D24/D23</f>
        <v>2.5322472883793124E-2</v>
      </c>
      <c r="E25" s="314">
        <f t="shared" si="8"/>
        <v>2.5517423594695637E-2</v>
      </c>
      <c r="F25" s="314">
        <f t="shared" si="8"/>
        <v>2.546354064103604E-2</v>
      </c>
      <c r="G25" s="314">
        <f t="shared" si="8"/>
        <v>2.5464589463772256E-2</v>
      </c>
      <c r="H25" s="314">
        <f t="shared" si="8"/>
        <v>3.0477667295456725E-2</v>
      </c>
      <c r="I25" s="314">
        <f t="shared" si="8"/>
        <v>2.1452040008837294E-2</v>
      </c>
      <c r="J25" s="314">
        <f t="shared" si="8"/>
        <v>2.1948631974248924E-2</v>
      </c>
      <c r="K25" s="314">
        <f t="shared" si="8"/>
        <v>2.1052186551853671E-2</v>
      </c>
      <c r="L25" s="314">
        <f t="shared" si="8"/>
        <v>2.4975749491534374E-2</v>
      </c>
      <c r="M25" s="314">
        <f t="shared" ref="M25:N25" si="9">+M24/M23</f>
        <v>2.8557003791647616E-2</v>
      </c>
      <c r="N25" s="314">
        <f t="shared" si="9"/>
        <v>2.955590492812836E-2</v>
      </c>
      <c r="O25" s="314">
        <f t="shared" ref="O25" si="10">+O24/O23</f>
        <v>2.9511825711595857E-2</v>
      </c>
      <c r="P25" s="314">
        <f>+P24/P23</f>
        <v>2.4703772312504892E-2</v>
      </c>
      <c r="S25" s="47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</row>
    <row r="26" spans="1:32">
      <c r="C26" s="47"/>
      <c r="P26" s="54"/>
      <c r="S26" s="47"/>
      <c r="T26" s="53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53"/>
    </row>
    <row r="27" spans="1:32">
      <c r="C27" s="47"/>
      <c r="S27" s="47"/>
      <c r="T27" s="53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</row>
    <row r="28" spans="1:32">
      <c r="A28" s="44" t="s">
        <v>43</v>
      </c>
      <c r="B28" s="44" t="s">
        <v>254</v>
      </c>
      <c r="C28" s="47" t="s">
        <v>47</v>
      </c>
      <c r="D28" s="386">
        <v>547553</v>
      </c>
      <c r="E28" s="426">
        <v>531712</v>
      </c>
      <c r="F28" s="426">
        <v>513966</v>
      </c>
      <c r="G28" s="426">
        <v>649275</v>
      </c>
      <c r="H28" s="426">
        <v>1141534</v>
      </c>
      <c r="I28" s="426">
        <v>987458</v>
      </c>
      <c r="J28" s="426">
        <v>1058447</v>
      </c>
      <c r="K28" s="426">
        <v>1094139</v>
      </c>
      <c r="L28" s="426">
        <v>623969</v>
      </c>
      <c r="M28" s="426">
        <v>669990</v>
      </c>
      <c r="N28" s="426">
        <v>578801</v>
      </c>
      <c r="O28" s="426">
        <v>541380</v>
      </c>
      <c r="P28" s="57">
        <f>SUM(D28:O28)</f>
        <v>8938224</v>
      </c>
      <c r="S28" s="47"/>
      <c r="T28" s="57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</row>
    <row r="29" spans="1:32" s="84" customFormat="1">
      <c r="C29" s="83" t="s">
        <v>48</v>
      </c>
      <c r="D29" s="51">
        <v>1.89E-2</v>
      </c>
      <c r="E29" s="51">
        <v>1.89E-2</v>
      </c>
      <c r="F29" s="51">
        <v>1.61E-2</v>
      </c>
      <c r="G29" s="51">
        <v>1.61E-2</v>
      </c>
      <c r="H29" s="51">
        <v>1.61E-2</v>
      </c>
      <c r="I29" s="51">
        <v>1.61E-2</v>
      </c>
      <c r="J29" s="51">
        <v>1.61E-2</v>
      </c>
      <c r="K29" s="51">
        <v>1.61E-2</v>
      </c>
      <c r="L29" s="51">
        <v>1.61E-2</v>
      </c>
      <c r="M29" s="51">
        <v>1.2699999999999999E-2</v>
      </c>
      <c r="N29" s="51">
        <v>1.2699999999999999E-2</v>
      </c>
      <c r="O29" s="51">
        <v>1.2699999999999999E-2</v>
      </c>
      <c r="P29" s="80">
        <f>+P30/P28</f>
        <v>1.5757131058698016E-2</v>
      </c>
      <c r="S29" s="83"/>
      <c r="T29" s="51"/>
      <c r="U29" s="51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83"/>
    </row>
    <row r="30" spans="1:32">
      <c r="C30" s="47" t="s">
        <v>49</v>
      </c>
      <c r="D30" s="54">
        <f t="shared" ref="D30:N30" si="11">D28*D29</f>
        <v>10348.751700000001</v>
      </c>
      <c r="E30" s="54">
        <f t="shared" si="11"/>
        <v>10049.3568</v>
      </c>
      <c r="F30" s="54">
        <f t="shared" si="11"/>
        <v>8274.8526000000002</v>
      </c>
      <c r="G30" s="54">
        <f t="shared" si="11"/>
        <v>10453.327499999999</v>
      </c>
      <c r="H30" s="54">
        <f t="shared" si="11"/>
        <v>18378.697400000001</v>
      </c>
      <c r="I30" s="54">
        <f t="shared" si="11"/>
        <v>15898.0738</v>
      </c>
      <c r="J30" s="54">
        <f t="shared" si="11"/>
        <v>17040.9967</v>
      </c>
      <c r="K30" s="54">
        <f t="shared" si="11"/>
        <v>17615.637899999998</v>
      </c>
      <c r="L30" s="54">
        <f t="shared" si="11"/>
        <v>10045.900900000001</v>
      </c>
      <c r="M30" s="54">
        <f t="shared" si="11"/>
        <v>8508.8729999999996</v>
      </c>
      <c r="N30" s="54">
        <f t="shared" si="11"/>
        <v>7350.7726999999995</v>
      </c>
      <c r="O30" s="54">
        <f t="shared" ref="O30" si="12">O28*O29</f>
        <v>6875.5259999999998</v>
      </c>
      <c r="P30" s="54">
        <f>SUM(D30:O30)</f>
        <v>140840.76700000002</v>
      </c>
      <c r="S30" s="47"/>
      <c r="T30" s="54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</row>
    <row r="31" spans="1:32">
      <c r="C31" s="47"/>
      <c r="S31" s="47"/>
      <c r="T31" s="54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</row>
    <row r="32" spans="1:32">
      <c r="A32" s="44" t="s">
        <v>255</v>
      </c>
      <c r="B32" s="44" t="s">
        <v>256</v>
      </c>
      <c r="C32" s="47" t="s">
        <v>47</v>
      </c>
      <c r="D32" s="386">
        <v>535339</v>
      </c>
      <c r="E32" s="427">
        <v>519870</v>
      </c>
      <c r="F32" s="426">
        <v>502508</v>
      </c>
      <c r="G32" s="426">
        <v>634812</v>
      </c>
      <c r="H32" s="427">
        <v>1116086</v>
      </c>
      <c r="I32" s="427">
        <v>965435</v>
      </c>
      <c r="J32" s="427">
        <v>1034842</v>
      </c>
      <c r="K32" s="426">
        <v>1069738</v>
      </c>
      <c r="L32" s="426">
        <v>610057</v>
      </c>
      <c r="M32" s="426">
        <v>656850</v>
      </c>
      <c r="N32" s="426">
        <v>567424</v>
      </c>
      <c r="O32" s="426">
        <v>530760</v>
      </c>
      <c r="P32" s="57">
        <f>SUM(D32:O32)</f>
        <v>8743721</v>
      </c>
      <c r="S32" s="47"/>
      <c r="T32" s="57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</row>
    <row r="33" spans="1:32">
      <c r="C33" s="49" t="s">
        <v>48</v>
      </c>
      <c r="D33" s="51">
        <v>2.1600000000000001E-2</v>
      </c>
      <c r="E33" s="51">
        <v>2.1600000000000001E-2</v>
      </c>
      <c r="F33" s="51">
        <v>2.9399999999999999E-2</v>
      </c>
      <c r="G33" s="51">
        <v>2.9399999999999999E-2</v>
      </c>
      <c r="H33" s="51">
        <v>2.9399999999999999E-2</v>
      </c>
      <c r="I33" s="51">
        <v>2.9399999999999999E-2</v>
      </c>
      <c r="J33" s="51">
        <v>2.9399999999999999E-2</v>
      </c>
      <c r="K33" s="51">
        <v>2.9399999999999999E-2</v>
      </c>
      <c r="L33" s="51">
        <v>2.9399999999999999E-2</v>
      </c>
      <c r="M33" s="51">
        <v>3.3500000000000002E-2</v>
      </c>
      <c r="N33" s="51">
        <v>3.3500000000000002E-2</v>
      </c>
      <c r="O33" s="51">
        <v>3.3500000000000002E-2</v>
      </c>
      <c r="P33" s="328">
        <f>+P34/P32</f>
        <v>2.9281630395114389E-2</v>
      </c>
      <c r="S33" s="49"/>
      <c r="T33" s="89"/>
      <c r="U33" s="89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52"/>
    </row>
    <row r="34" spans="1:32">
      <c r="C34" s="47" t="s">
        <v>49</v>
      </c>
      <c r="D34" s="54">
        <f t="shared" ref="D34:K34" si="13">D32*D33</f>
        <v>11563.322400000001</v>
      </c>
      <c r="E34" s="54">
        <f t="shared" si="13"/>
        <v>11229.192000000001</v>
      </c>
      <c r="F34" s="54">
        <f t="shared" si="13"/>
        <v>14773.735199999999</v>
      </c>
      <c r="G34" s="54">
        <f t="shared" si="13"/>
        <v>18663.4728</v>
      </c>
      <c r="H34" s="54">
        <f t="shared" si="13"/>
        <v>32812.928399999997</v>
      </c>
      <c r="I34" s="54">
        <f t="shared" si="13"/>
        <v>28383.789000000001</v>
      </c>
      <c r="J34" s="54">
        <f t="shared" si="13"/>
        <v>30424.354799999997</v>
      </c>
      <c r="K34" s="54">
        <f t="shared" si="13"/>
        <v>31450.297199999997</v>
      </c>
      <c r="L34" s="54">
        <f t="shared" ref="L34:M34" si="14">L32*L33</f>
        <v>17935.675800000001</v>
      </c>
      <c r="M34" s="54">
        <f t="shared" si="14"/>
        <v>22004.475000000002</v>
      </c>
      <c r="N34" s="54">
        <f t="shared" ref="N34:O34" si="15">N32*N33</f>
        <v>19008.704000000002</v>
      </c>
      <c r="O34" s="54">
        <f t="shared" si="15"/>
        <v>17780.460000000003</v>
      </c>
      <c r="P34" s="54">
        <f>SUM(D34:O34)</f>
        <v>256030.40659999999</v>
      </c>
      <c r="S34" s="47"/>
      <c r="T34" s="54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</row>
    <row r="35" spans="1:32">
      <c r="T35" s="91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</row>
    <row r="36" spans="1:32">
      <c r="A36" s="44" t="s">
        <v>255</v>
      </c>
      <c r="B36" s="44" t="s">
        <v>812</v>
      </c>
      <c r="C36" s="47" t="s">
        <v>47</v>
      </c>
      <c r="D36" s="386">
        <v>364371</v>
      </c>
      <c r="E36" s="426">
        <v>299698</v>
      </c>
      <c r="F36" s="426">
        <v>204602</v>
      </c>
      <c r="G36" s="426">
        <v>67934</v>
      </c>
      <c r="H36" s="426">
        <v>125640</v>
      </c>
      <c r="I36" s="426">
        <v>50946</v>
      </c>
      <c r="J36" s="426">
        <v>25045</v>
      </c>
      <c r="K36" s="426">
        <v>25390</v>
      </c>
      <c r="L36" s="426">
        <v>37557</v>
      </c>
      <c r="M36" s="426">
        <v>248014</v>
      </c>
      <c r="N36" s="426">
        <v>283099</v>
      </c>
      <c r="O36" s="426">
        <v>288287</v>
      </c>
      <c r="P36" s="57">
        <f>SUM(D36:O36)</f>
        <v>2020583</v>
      </c>
      <c r="S36" s="47"/>
      <c r="T36" s="57"/>
      <c r="U36" s="47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</row>
    <row r="37" spans="1:32">
      <c r="C37" s="49" t="s">
        <v>48</v>
      </c>
      <c r="D37" s="51">
        <v>2.24E-2</v>
      </c>
      <c r="E37" s="51">
        <v>2.24E-2</v>
      </c>
      <c r="F37" s="51">
        <v>2.24E-2</v>
      </c>
      <c r="G37" s="51">
        <v>2.24E-2</v>
      </c>
      <c r="H37" s="51">
        <v>2.24E-2</v>
      </c>
      <c r="I37" s="51">
        <v>2.24E-2</v>
      </c>
      <c r="J37" s="51">
        <v>2.24E-2</v>
      </c>
      <c r="K37" s="51">
        <v>2.24E-2</v>
      </c>
      <c r="L37" s="51">
        <v>2.24E-2</v>
      </c>
      <c r="M37" s="51">
        <v>3.15E-2</v>
      </c>
      <c r="N37" s="51">
        <v>3.15E-2</v>
      </c>
      <c r="O37" s="51">
        <v>3.15E-2</v>
      </c>
      <c r="P37" s="328">
        <f>+P38/P36</f>
        <v>2.6090291366402674E-2</v>
      </c>
      <c r="S37" s="49"/>
      <c r="T37" s="51"/>
      <c r="U37" s="48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2"/>
    </row>
    <row r="38" spans="1:32">
      <c r="C38" s="47" t="s">
        <v>49</v>
      </c>
      <c r="D38" s="54">
        <f t="shared" ref="D38:M38" si="16">D36*D37</f>
        <v>8161.9103999999998</v>
      </c>
      <c r="E38" s="54">
        <f t="shared" si="16"/>
        <v>6713.2352000000001</v>
      </c>
      <c r="F38" s="54">
        <f t="shared" si="16"/>
        <v>4583.0847999999996</v>
      </c>
      <c r="G38" s="54">
        <f t="shared" si="16"/>
        <v>1521.7216000000001</v>
      </c>
      <c r="H38" s="54">
        <f t="shared" si="16"/>
        <v>2814.3359999999998</v>
      </c>
      <c r="I38" s="54">
        <f t="shared" si="16"/>
        <v>1141.1904</v>
      </c>
      <c r="J38" s="54">
        <f t="shared" si="16"/>
        <v>561.00800000000004</v>
      </c>
      <c r="K38" s="54">
        <f t="shared" si="16"/>
        <v>568.73599999999999</v>
      </c>
      <c r="L38" s="54">
        <f t="shared" si="16"/>
        <v>841.27679999999998</v>
      </c>
      <c r="M38" s="54">
        <f t="shared" si="16"/>
        <v>7812.4409999999998</v>
      </c>
      <c r="N38" s="54">
        <f t="shared" ref="N38:O38" si="17">N36*N37</f>
        <v>8917.6185000000005</v>
      </c>
      <c r="O38" s="54">
        <f t="shared" si="17"/>
        <v>9081.0404999999992</v>
      </c>
      <c r="P38" s="54">
        <f>SUM(D38:O38)</f>
        <v>52717.599200000011</v>
      </c>
      <c r="S38" s="47"/>
      <c r="T38" s="54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</row>
    <row r="39" spans="1:32">
      <c r="T39" s="91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</row>
    <row r="40" spans="1:32">
      <c r="A40" s="44" t="s">
        <v>255</v>
      </c>
      <c r="B40" s="44" t="s">
        <v>257</v>
      </c>
      <c r="C40" s="47" t="s">
        <v>47</v>
      </c>
      <c r="D40" s="57"/>
      <c r="E40" s="57"/>
      <c r="F40" s="57"/>
      <c r="G40" s="426">
        <v>89645</v>
      </c>
      <c r="H40" s="426">
        <v>119670</v>
      </c>
      <c r="I40" s="426">
        <v>367729</v>
      </c>
      <c r="J40" s="426">
        <v>748251</v>
      </c>
      <c r="K40" s="426">
        <v>448909</v>
      </c>
      <c r="L40" s="426">
        <v>261645</v>
      </c>
      <c r="M40" s="426">
        <v>48957</v>
      </c>
      <c r="N40" s="57"/>
      <c r="O40" s="57"/>
      <c r="P40" s="57">
        <f>SUM(D40:O40)</f>
        <v>2084806</v>
      </c>
      <c r="S40" s="47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</row>
    <row r="41" spans="1:32">
      <c r="C41" s="49" t="s">
        <v>48</v>
      </c>
      <c r="D41" s="51">
        <v>1.95E-2</v>
      </c>
      <c r="E41" s="51"/>
      <c r="F41" s="51"/>
      <c r="G41" s="51">
        <v>1.95E-2</v>
      </c>
      <c r="H41" s="51">
        <v>1.95E-2</v>
      </c>
      <c r="I41" s="51">
        <v>1.95E-2</v>
      </c>
      <c r="J41" s="51">
        <v>1.95E-2</v>
      </c>
      <c r="K41" s="51">
        <v>1.95E-2</v>
      </c>
      <c r="L41" s="51">
        <v>1.95E-2</v>
      </c>
      <c r="M41" s="51">
        <v>3.15E-2</v>
      </c>
      <c r="N41" s="51"/>
      <c r="O41" s="51"/>
      <c r="P41" s="328">
        <f>+P42/P40</f>
        <v>1.9042086170128061E-2</v>
      </c>
      <c r="S41" s="49"/>
      <c r="T41" s="51"/>
      <c r="U41" s="51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2"/>
    </row>
    <row r="42" spans="1:32">
      <c r="C42" s="47" t="s">
        <v>49</v>
      </c>
      <c r="D42" s="54">
        <f>D40*D41</f>
        <v>0</v>
      </c>
      <c r="E42" s="54"/>
      <c r="F42" s="54"/>
      <c r="G42" s="54">
        <f t="shared" ref="G42:L42" si="18">G40*G41</f>
        <v>1748.0775000000001</v>
      </c>
      <c r="H42" s="54">
        <f t="shared" si="18"/>
        <v>2333.5650000000001</v>
      </c>
      <c r="I42" s="54">
        <f t="shared" si="18"/>
        <v>7170.7155000000002</v>
      </c>
      <c r="J42" s="54">
        <f t="shared" si="18"/>
        <v>14590.8945</v>
      </c>
      <c r="K42" s="54">
        <f t="shared" si="18"/>
        <v>8753.7255000000005</v>
      </c>
      <c r="L42" s="54">
        <f t="shared" si="18"/>
        <v>5102.0775000000003</v>
      </c>
      <c r="M42" s="54"/>
      <c r="N42" s="54"/>
      <c r="O42" s="54"/>
      <c r="P42" s="54">
        <f>SUM(D42:O42)</f>
        <v>39699.055500000002</v>
      </c>
      <c r="S42" s="47"/>
      <c r="T42" s="54"/>
      <c r="U42" s="53"/>
      <c r="V42" s="47"/>
      <c r="W42" s="53"/>
      <c r="X42" s="53"/>
      <c r="Y42" s="53"/>
      <c r="Z42" s="53"/>
      <c r="AA42" s="53"/>
      <c r="AB42" s="53"/>
      <c r="AC42" s="53"/>
      <c r="AD42" s="53"/>
      <c r="AE42" s="53"/>
      <c r="AF42" s="53"/>
    </row>
    <row r="43" spans="1:32">
      <c r="T43" s="91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</row>
    <row r="44" spans="1:32" s="58" customFormat="1">
      <c r="A44" s="58" t="s">
        <v>255</v>
      </c>
      <c r="B44" s="58" t="s">
        <v>258</v>
      </c>
      <c r="C44" s="48" t="s">
        <v>47</v>
      </c>
      <c r="D44" s="386">
        <v>364371</v>
      </c>
      <c r="E44" s="426">
        <v>299698</v>
      </c>
      <c r="F44" s="426">
        <v>204602</v>
      </c>
      <c r="G44" s="426">
        <v>67934</v>
      </c>
      <c r="H44" s="426">
        <v>125640</v>
      </c>
      <c r="I44" s="426">
        <v>50946</v>
      </c>
      <c r="J44" s="426">
        <v>25045</v>
      </c>
      <c r="K44" s="426">
        <v>25390</v>
      </c>
      <c r="L44" s="426">
        <v>37557</v>
      </c>
      <c r="M44" s="426">
        <v>248014</v>
      </c>
      <c r="N44" s="426">
        <v>283099</v>
      </c>
      <c r="O44" s="426">
        <v>288287</v>
      </c>
      <c r="P44" s="57">
        <f>SUM(D44:O44)</f>
        <v>2020583</v>
      </c>
      <c r="S44" s="48"/>
      <c r="T44" s="57"/>
      <c r="U44" s="57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</row>
    <row r="45" spans="1:32" s="92" customFormat="1">
      <c r="C45" s="52" t="s">
        <v>48</v>
      </c>
      <c r="D45" s="89">
        <v>1.5299999999999999E-2</v>
      </c>
      <c r="E45" s="89">
        <v>1.5299999999999999E-2</v>
      </c>
      <c r="F45" s="89">
        <v>1.5299999999999999E-2</v>
      </c>
      <c r="G45" s="89">
        <v>1.5299999999999999E-2</v>
      </c>
      <c r="H45" s="89">
        <v>1.5299999999999999E-2</v>
      </c>
      <c r="I45" s="89">
        <v>1.5299999999999999E-2</v>
      </c>
      <c r="J45" s="89">
        <v>1.5299999999999999E-2</v>
      </c>
      <c r="K45" s="89">
        <v>1.5299999999999999E-2</v>
      </c>
      <c r="L45" s="89">
        <v>1.5299999999999999E-2</v>
      </c>
      <c r="M45" s="89">
        <v>1.5299999999999999E-2</v>
      </c>
      <c r="N45" s="89">
        <v>1.5299999999999999E-2</v>
      </c>
      <c r="O45" s="89">
        <v>1.5299999999999999E-2</v>
      </c>
      <c r="P45" s="328">
        <f>+P46/P44</f>
        <v>1.5300000000000001E-2</v>
      </c>
      <c r="S45" s="52"/>
      <c r="T45" s="89"/>
      <c r="U45" s="89"/>
      <c r="V45" s="90"/>
      <c r="W45" s="90"/>
      <c r="X45" s="90"/>
      <c r="Y45" s="90"/>
      <c r="Z45" s="90"/>
      <c r="AA45" s="90"/>
      <c r="AB45" s="90"/>
      <c r="AC45" s="90"/>
      <c r="AD45" s="90"/>
      <c r="AE45" s="90"/>
      <c r="AF45" s="52"/>
    </row>
    <row r="46" spans="1:32" s="86" customFormat="1">
      <c r="C46" s="53" t="s">
        <v>49</v>
      </c>
      <c r="D46" s="54">
        <f t="shared" ref="D46:K46" si="19">D44*D45</f>
        <v>5574.8762999999999</v>
      </c>
      <c r="E46" s="54">
        <f t="shared" si="19"/>
        <v>4585.3793999999998</v>
      </c>
      <c r="F46" s="54">
        <f t="shared" si="19"/>
        <v>3130.4105999999997</v>
      </c>
      <c r="G46" s="54">
        <f t="shared" si="19"/>
        <v>1039.3902</v>
      </c>
      <c r="H46" s="54">
        <f t="shared" si="19"/>
        <v>1922.2919999999999</v>
      </c>
      <c r="I46" s="54">
        <f t="shared" si="19"/>
        <v>779.47379999999998</v>
      </c>
      <c r="J46" s="54">
        <f t="shared" si="19"/>
        <v>383.18849999999998</v>
      </c>
      <c r="K46" s="54">
        <f t="shared" si="19"/>
        <v>388.46699999999998</v>
      </c>
      <c r="L46" s="54">
        <f t="shared" ref="L46:M46" si="20">L44*L45</f>
        <v>574.62209999999993</v>
      </c>
      <c r="M46" s="54">
        <f t="shared" si="20"/>
        <v>3794.6142</v>
      </c>
      <c r="N46" s="54">
        <f t="shared" ref="N46:O46" si="21">N44*N45</f>
        <v>4331.4147000000003</v>
      </c>
      <c r="O46" s="54">
        <f t="shared" si="21"/>
        <v>4410.7910999999995</v>
      </c>
      <c r="P46" s="54">
        <f>SUM(D46:O46)</f>
        <v>30914.919900000001</v>
      </c>
      <c r="S46" s="53"/>
      <c r="T46" s="54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</row>
    <row r="47" spans="1:32">
      <c r="T47" s="91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</row>
    <row r="48" spans="1:32" s="58" customFormat="1">
      <c r="A48" s="58" t="s">
        <v>255</v>
      </c>
      <c r="B48" s="58" t="s">
        <v>259</v>
      </c>
      <c r="C48" s="48" t="s">
        <v>47</v>
      </c>
      <c r="D48" s="57"/>
      <c r="E48" s="57"/>
      <c r="F48" s="57"/>
      <c r="G48" s="426">
        <v>89645</v>
      </c>
      <c r="H48" s="426">
        <v>119670</v>
      </c>
      <c r="I48" s="426">
        <v>367729</v>
      </c>
      <c r="J48" s="457">
        <v>748251</v>
      </c>
      <c r="K48" s="426">
        <v>448909</v>
      </c>
      <c r="L48" s="426">
        <v>261645</v>
      </c>
      <c r="M48" s="426">
        <v>48957</v>
      </c>
      <c r="N48" s="57"/>
      <c r="O48" s="57"/>
      <c r="P48" s="57">
        <f>SUM(D48:O48)</f>
        <v>2084806</v>
      </c>
      <c r="S48" s="48"/>
      <c r="T48" s="57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</row>
    <row r="49" spans="1:32" s="92" customFormat="1">
      <c r="C49" s="52" t="s">
        <v>48</v>
      </c>
      <c r="D49" s="89">
        <v>1.5299999999999999E-2</v>
      </c>
      <c r="E49" s="89"/>
      <c r="F49" s="89"/>
      <c r="G49" s="89">
        <v>1.5299999999999999E-2</v>
      </c>
      <c r="H49" s="89">
        <v>1.5299999999999999E-2</v>
      </c>
      <c r="I49" s="89">
        <v>1.5299999999999999E-2</v>
      </c>
      <c r="J49" s="89">
        <v>1.5299999999999999E-2</v>
      </c>
      <c r="K49" s="89">
        <v>1.5299999999999999E-2</v>
      </c>
      <c r="L49" s="89">
        <v>1.5299999999999999E-2</v>
      </c>
      <c r="M49" s="89">
        <v>1.5299999999999999E-2</v>
      </c>
      <c r="N49" s="89"/>
      <c r="O49" s="89"/>
      <c r="P49" s="328">
        <f>+P50/P48</f>
        <v>1.4940713764254323E-2</v>
      </c>
      <c r="S49" s="52"/>
      <c r="T49" s="89"/>
      <c r="U49" s="90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52"/>
    </row>
    <row r="50" spans="1:32" s="86" customFormat="1">
      <c r="C50" s="53" t="s">
        <v>49</v>
      </c>
      <c r="D50" s="54">
        <f>D48*D49</f>
        <v>0</v>
      </c>
      <c r="E50" s="54"/>
      <c r="F50" s="54"/>
      <c r="G50" s="54">
        <f t="shared" ref="G50:L50" si="22">G48*G49</f>
        <v>1371.5684999999999</v>
      </c>
      <c r="H50" s="54">
        <f t="shared" si="22"/>
        <v>1830.951</v>
      </c>
      <c r="I50" s="54">
        <f t="shared" si="22"/>
        <v>5626.2537000000002</v>
      </c>
      <c r="J50" s="54">
        <f t="shared" si="22"/>
        <v>11448.240299999999</v>
      </c>
      <c r="K50" s="54">
        <f t="shared" si="22"/>
        <v>6868.3076999999994</v>
      </c>
      <c r="L50" s="54">
        <f t="shared" si="22"/>
        <v>4003.1684999999998</v>
      </c>
      <c r="M50" s="54"/>
      <c r="N50" s="54"/>
      <c r="O50" s="54"/>
      <c r="P50" s="54">
        <f>SUM(D50:O50)</f>
        <v>31148.489699999998</v>
      </c>
      <c r="S50" s="53"/>
      <c r="T50" s="54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</row>
    <row r="51" spans="1:32">
      <c r="T51" s="45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</row>
    <row r="52" spans="1:32">
      <c r="A52" s="87" t="s">
        <v>260</v>
      </c>
      <c r="B52" s="87" t="s">
        <v>0</v>
      </c>
      <c r="C52" s="47" t="s">
        <v>47</v>
      </c>
      <c r="D52" s="57">
        <f t="shared" ref="D52:K52" si="23">SUM(D28,D32,D36,D40,D44,D48)</f>
        <v>1811634</v>
      </c>
      <c r="E52" s="57">
        <f t="shared" si="23"/>
        <v>1650978</v>
      </c>
      <c r="F52" s="57">
        <f t="shared" si="23"/>
        <v>1425678</v>
      </c>
      <c r="G52" s="57">
        <f t="shared" si="23"/>
        <v>1599245</v>
      </c>
      <c r="H52" s="57">
        <f t="shared" si="23"/>
        <v>2748240</v>
      </c>
      <c r="I52" s="57">
        <f t="shared" si="23"/>
        <v>2790243</v>
      </c>
      <c r="J52" s="57">
        <f t="shared" si="23"/>
        <v>3639881</v>
      </c>
      <c r="K52" s="57">
        <f t="shared" si="23"/>
        <v>3112475</v>
      </c>
      <c r="L52" s="57">
        <f t="shared" ref="L52:M52" si="24">SUM(L28,L32,L36,L40,L44,L48)</f>
        <v>1832430</v>
      </c>
      <c r="M52" s="57">
        <f t="shared" si="24"/>
        <v>1920782</v>
      </c>
      <c r="N52" s="57">
        <f t="shared" ref="N52:O52" si="25">SUM(N28,N32,N36,N40,N44,N48)</f>
        <v>1712423</v>
      </c>
      <c r="O52" s="57">
        <f t="shared" si="25"/>
        <v>1648714</v>
      </c>
      <c r="P52" s="57">
        <f>SUM(D52:O52)</f>
        <v>25892723</v>
      </c>
      <c r="Q52" s="87"/>
      <c r="R52" s="87"/>
      <c r="S52" s="47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</row>
    <row r="53" spans="1:32">
      <c r="C53" s="47" t="s">
        <v>49</v>
      </c>
      <c r="D53" s="54">
        <f t="shared" ref="D53:K53" si="26">SUM(D30,D34,D38,D42,D46,D50)</f>
        <v>35648.860800000002</v>
      </c>
      <c r="E53" s="54">
        <f t="shared" si="26"/>
        <v>32577.163399999998</v>
      </c>
      <c r="F53" s="54">
        <f t="shared" si="26"/>
        <v>30762.083200000001</v>
      </c>
      <c r="G53" s="54">
        <f t="shared" si="26"/>
        <v>34797.558100000002</v>
      </c>
      <c r="H53" s="54">
        <f t="shared" si="26"/>
        <v>60092.769800000002</v>
      </c>
      <c r="I53" s="54">
        <f t="shared" si="26"/>
        <v>58999.496200000001</v>
      </c>
      <c r="J53" s="54">
        <f t="shared" si="26"/>
        <v>74448.682799999995</v>
      </c>
      <c r="K53" s="54">
        <f t="shared" si="26"/>
        <v>65645.171299999987</v>
      </c>
      <c r="L53" s="54">
        <f t="shared" ref="L53:M53" si="27">SUM(L30,L34,L38,L42,L46,L50)</f>
        <v>38502.721600000004</v>
      </c>
      <c r="M53" s="54">
        <f t="shared" si="27"/>
        <v>42120.403200000001</v>
      </c>
      <c r="N53" s="54">
        <f t="shared" ref="N53:O53" si="28">SUM(N30,N34,N38,N42,N46,N50)</f>
        <v>39608.509899999997</v>
      </c>
      <c r="O53" s="54">
        <f t="shared" si="28"/>
        <v>38147.817600000009</v>
      </c>
      <c r="P53" s="54">
        <f>SUM(D53:O53)</f>
        <v>551351.23790000007</v>
      </c>
      <c r="S53" s="47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</row>
    <row r="54" spans="1:32">
      <c r="C54" s="47" t="s">
        <v>48</v>
      </c>
      <c r="D54" s="314">
        <f t="shared" ref="D54:K54" si="29">+D53/D52</f>
        <v>1.9677738881032261E-2</v>
      </c>
      <c r="E54" s="314">
        <f t="shared" si="29"/>
        <v>1.9732039675876965E-2</v>
      </c>
      <c r="F54" s="314">
        <f t="shared" si="29"/>
        <v>2.157716062112202E-2</v>
      </c>
      <c r="G54" s="314">
        <f t="shared" si="29"/>
        <v>2.1758741218512487E-2</v>
      </c>
      <c r="H54" s="314">
        <f t="shared" si="29"/>
        <v>2.1865910473612204E-2</v>
      </c>
      <c r="I54" s="314">
        <f t="shared" si="29"/>
        <v>2.1144931176245222E-2</v>
      </c>
      <c r="J54" s="314">
        <f t="shared" si="29"/>
        <v>2.045360351066422E-2</v>
      </c>
      <c r="K54" s="314">
        <f t="shared" si="29"/>
        <v>2.1090987493875449E-2</v>
      </c>
      <c r="L54" s="314">
        <f t="shared" ref="L54:M54" si="30">+L53/L52</f>
        <v>2.1011837614533711E-2</v>
      </c>
      <c r="M54" s="314">
        <f t="shared" si="30"/>
        <v>2.1928778591219618E-2</v>
      </c>
      <c r="N54" s="314">
        <f t="shared" ref="N54:O54" si="31">+N53/N52</f>
        <v>2.3130096886108162E-2</v>
      </c>
      <c r="O54" s="314">
        <f t="shared" si="31"/>
        <v>2.3137923011510797E-2</v>
      </c>
      <c r="P54" s="314">
        <f>+P53/P52</f>
        <v>2.1293675365854726E-2</v>
      </c>
      <c r="S54" s="47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</row>
    <row r="55" spans="1:32">
      <c r="T55" s="94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</row>
    <row r="56" spans="1:32">
      <c r="T56" s="94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</row>
    <row r="57" spans="1:32">
      <c r="A57" s="44" t="s">
        <v>44</v>
      </c>
      <c r="B57" s="44" t="s">
        <v>261</v>
      </c>
      <c r="C57" s="47" t="s">
        <v>47</v>
      </c>
      <c r="D57" s="386">
        <v>322090</v>
      </c>
      <c r="E57" s="386">
        <v>322090</v>
      </c>
      <c r="F57" s="57"/>
      <c r="G57" s="57"/>
      <c r="H57" s="57"/>
      <c r="I57" s="453">
        <v>139607</v>
      </c>
      <c r="K57" s="57">
        <v>290928</v>
      </c>
      <c r="L57" s="57">
        <v>310968</v>
      </c>
      <c r="M57" s="57">
        <v>300960</v>
      </c>
      <c r="N57" s="57">
        <v>310992</v>
      </c>
      <c r="O57" s="57">
        <v>310992</v>
      </c>
      <c r="P57" s="57">
        <f>SUM(D57:O57)</f>
        <v>2308627</v>
      </c>
      <c r="S57" s="47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</row>
    <row r="58" spans="1:32" s="63" customFormat="1">
      <c r="C58" s="62" t="s">
        <v>48</v>
      </c>
      <c r="D58" s="73">
        <v>3.1530000000000002E-2</v>
      </c>
      <c r="E58" s="73">
        <v>3.1530000000000002E-2</v>
      </c>
      <c r="F58" s="73"/>
      <c r="G58" s="73"/>
      <c r="H58" s="73"/>
      <c r="I58" s="73">
        <v>3.1530000000000002E-2</v>
      </c>
      <c r="J58" s="73"/>
      <c r="K58" s="73">
        <v>3.1530000000000002E-2</v>
      </c>
      <c r="L58" s="73">
        <v>3.1530000000000002E-2</v>
      </c>
      <c r="M58" s="73">
        <v>3.8199999999999998E-2</v>
      </c>
      <c r="N58" s="73">
        <v>3.8199999999999998E-2</v>
      </c>
      <c r="O58" s="73">
        <v>3.8199999999999998E-2</v>
      </c>
      <c r="P58" s="61"/>
      <c r="S58" s="62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62"/>
    </row>
    <row r="59" spans="1:32">
      <c r="C59" s="47" t="s">
        <v>49</v>
      </c>
      <c r="D59" s="54">
        <f>D57*D58</f>
        <v>10155.4977</v>
      </c>
      <c r="E59" s="54">
        <f>E57*E58</f>
        <v>10155.4977</v>
      </c>
      <c r="F59" s="54"/>
      <c r="G59" s="54"/>
      <c r="H59" s="54"/>
      <c r="I59" s="54">
        <f>I57*I58</f>
        <v>4401.8087100000002</v>
      </c>
      <c r="J59" s="54"/>
      <c r="K59" s="54">
        <f>K57*K58</f>
        <v>9172.9598400000013</v>
      </c>
      <c r="L59" s="54">
        <f>L57*L58</f>
        <v>9804.8210400000007</v>
      </c>
      <c r="M59" s="54">
        <f>M57*M58</f>
        <v>11496.671999999999</v>
      </c>
      <c r="N59" s="54">
        <f>N57*N58</f>
        <v>11879.894399999999</v>
      </c>
      <c r="O59" s="54">
        <f>O57*O58</f>
        <v>11879.894399999999</v>
      </c>
      <c r="P59" s="54">
        <f>SUM(D59:O59)</f>
        <v>78947.045790000004</v>
      </c>
      <c r="S59" s="47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</row>
    <row r="60" spans="1:32">
      <c r="C60" s="47"/>
      <c r="L60" s="487"/>
      <c r="P60" s="54"/>
      <c r="S60" s="47"/>
      <c r="T60" s="94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53"/>
    </row>
    <row r="61" spans="1:32">
      <c r="T61" s="45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</row>
    <row r="62" spans="1:32">
      <c r="A62" s="87" t="s">
        <v>44</v>
      </c>
      <c r="B62" s="87" t="s">
        <v>0</v>
      </c>
      <c r="C62" s="47" t="s">
        <v>47</v>
      </c>
      <c r="D62" s="57">
        <f t="shared" ref="D62:I62" si="32">D57</f>
        <v>322090</v>
      </c>
      <c r="E62" s="57">
        <f t="shared" si="32"/>
        <v>322090</v>
      </c>
      <c r="F62" s="57">
        <f t="shared" si="32"/>
        <v>0</v>
      </c>
      <c r="G62" s="57">
        <f t="shared" si="32"/>
        <v>0</v>
      </c>
      <c r="H62" s="57">
        <f t="shared" si="32"/>
        <v>0</v>
      </c>
      <c r="I62" s="57">
        <f t="shared" si="32"/>
        <v>139607</v>
      </c>
      <c r="J62" s="57">
        <f>K57</f>
        <v>290928</v>
      </c>
      <c r="K62" s="57">
        <f>L57</f>
        <v>310968</v>
      </c>
      <c r="L62" s="57">
        <f>L57</f>
        <v>310968</v>
      </c>
      <c r="M62" s="57">
        <f>M57</f>
        <v>300960</v>
      </c>
      <c r="N62" s="57">
        <f>N57</f>
        <v>310992</v>
      </c>
      <c r="O62" s="57">
        <f>O57</f>
        <v>310992</v>
      </c>
      <c r="P62" s="57">
        <f>SUM(D62:O62)</f>
        <v>2619595</v>
      </c>
      <c r="Q62" s="87"/>
      <c r="R62" s="87"/>
      <c r="S62" s="47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</row>
    <row r="63" spans="1:32">
      <c r="C63" s="47" t="s">
        <v>49</v>
      </c>
      <c r="D63" s="315">
        <f t="shared" ref="D63:I63" si="33">D59</f>
        <v>10155.4977</v>
      </c>
      <c r="E63" s="315">
        <f t="shared" si="33"/>
        <v>10155.4977</v>
      </c>
      <c r="F63" s="315">
        <f t="shared" si="33"/>
        <v>0</v>
      </c>
      <c r="G63" s="315">
        <f t="shared" si="33"/>
        <v>0</v>
      </c>
      <c r="H63" s="315">
        <f t="shared" si="33"/>
        <v>0</v>
      </c>
      <c r="I63" s="315">
        <f t="shared" si="33"/>
        <v>4401.8087100000002</v>
      </c>
      <c r="J63" s="315">
        <f t="shared" ref="J63:O63" si="34">J59</f>
        <v>0</v>
      </c>
      <c r="K63" s="315">
        <f t="shared" si="34"/>
        <v>9172.9598400000013</v>
      </c>
      <c r="L63" s="315">
        <f t="shared" si="34"/>
        <v>9804.8210400000007</v>
      </c>
      <c r="M63" s="315">
        <f t="shared" si="34"/>
        <v>11496.671999999999</v>
      </c>
      <c r="N63" s="315">
        <f t="shared" si="34"/>
        <v>11879.894399999999</v>
      </c>
      <c r="O63" s="315">
        <f t="shared" si="34"/>
        <v>11879.894399999999</v>
      </c>
      <c r="P63" s="54">
        <f>SUM(D63:O63)</f>
        <v>78947.045790000004</v>
      </c>
      <c r="S63" s="47"/>
      <c r="T63" s="93"/>
      <c r="U63" s="93"/>
      <c r="V63" s="93"/>
      <c r="W63" s="93"/>
      <c r="X63" s="93"/>
      <c r="Y63" s="93"/>
      <c r="Z63" s="93"/>
      <c r="AA63" s="93"/>
      <c r="AB63" s="93"/>
      <c r="AC63" s="93"/>
      <c r="AD63" s="93"/>
      <c r="AE63" s="93"/>
      <c r="AF63" s="53"/>
    </row>
    <row r="64" spans="1:32">
      <c r="C64" s="47" t="s">
        <v>48</v>
      </c>
      <c r="D64" s="314">
        <f t="shared" ref="D64:L64" si="35">+D63/D62</f>
        <v>3.1530000000000002E-2</v>
      </c>
      <c r="E64" s="314">
        <f t="shared" si="35"/>
        <v>3.1530000000000002E-2</v>
      </c>
      <c r="F64" s="314" t="e">
        <f t="shared" si="35"/>
        <v>#DIV/0!</v>
      </c>
      <c r="G64" s="314" t="e">
        <f t="shared" si="35"/>
        <v>#DIV/0!</v>
      </c>
      <c r="H64" s="314" t="e">
        <f t="shared" si="35"/>
        <v>#DIV/0!</v>
      </c>
      <c r="I64" s="314">
        <f t="shared" si="35"/>
        <v>3.1530000000000002E-2</v>
      </c>
      <c r="J64" s="314">
        <f t="shared" si="35"/>
        <v>0</v>
      </c>
      <c r="K64" s="314">
        <f t="shared" si="35"/>
        <v>2.9498082889557773E-2</v>
      </c>
      <c r="L64" s="314">
        <f t="shared" si="35"/>
        <v>3.1530000000000002E-2</v>
      </c>
      <c r="M64" s="314">
        <f t="shared" ref="M64:N64" si="36">+M63/M62</f>
        <v>3.8199999999999998E-2</v>
      </c>
      <c r="N64" s="314">
        <f t="shared" si="36"/>
        <v>3.8199999999999998E-2</v>
      </c>
      <c r="O64" s="314">
        <f t="shared" ref="O64" si="37">+O63/O62</f>
        <v>3.8199999999999998E-2</v>
      </c>
      <c r="P64" s="314">
        <f>+P63/P62</f>
        <v>3.0137118825619993E-2</v>
      </c>
      <c r="S64" s="47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88"/>
      <c r="AF64" s="88"/>
    </row>
    <row r="65" spans="1:32"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</row>
    <row r="66" spans="1:32">
      <c r="A66" s="87" t="s">
        <v>0</v>
      </c>
      <c r="C66" s="44" t="s">
        <v>47</v>
      </c>
      <c r="D66" s="57">
        <f t="shared" ref="D66:F67" si="38">SUM(D23,D52,D62)</f>
        <v>2343746</v>
      </c>
      <c r="E66" s="57">
        <f t="shared" si="38"/>
        <v>2152015</v>
      </c>
      <c r="F66" s="57">
        <f t="shared" si="38"/>
        <v>1598336</v>
      </c>
      <c r="G66" s="57">
        <f t="shared" ref="G66:I67" si="39">SUM(G23,G52,G62)</f>
        <v>1777658</v>
      </c>
      <c r="H66" s="57">
        <f t="shared" si="39"/>
        <v>2779517</v>
      </c>
      <c r="I66" s="57">
        <f t="shared" si="39"/>
        <v>3427740</v>
      </c>
      <c r="J66" s="57">
        <f t="shared" ref="J66:L67" si="40">SUM(J23,J52,J62)</f>
        <v>4378169</v>
      </c>
      <c r="K66" s="57">
        <f t="shared" si="40"/>
        <v>3769513</v>
      </c>
      <c r="L66" s="57">
        <f t="shared" si="40"/>
        <v>2219116</v>
      </c>
      <c r="M66" s="57">
        <f t="shared" ref="M66:N66" si="41">SUM(M23,M52,M62)</f>
        <v>2593612</v>
      </c>
      <c r="N66" s="57">
        <f t="shared" si="41"/>
        <v>2225094</v>
      </c>
      <c r="O66" s="57">
        <f t="shared" ref="O66" si="42">SUM(O23,O52,O62)</f>
        <v>2159398</v>
      </c>
      <c r="Q66" s="87"/>
      <c r="T66" s="48"/>
      <c r="U66" s="48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</row>
    <row r="67" spans="1:32" s="68" customFormat="1">
      <c r="B67" s="95"/>
      <c r="C67" s="67" t="s">
        <v>49</v>
      </c>
      <c r="D67" s="65">
        <f t="shared" si="38"/>
        <v>51122.634900000005</v>
      </c>
      <c r="E67" s="65">
        <f t="shared" si="38"/>
        <v>47298.927499999998</v>
      </c>
      <c r="F67" s="65">
        <f t="shared" si="38"/>
        <v>35158.567200000005</v>
      </c>
      <c r="G67" s="65">
        <f t="shared" si="39"/>
        <v>39340.7719</v>
      </c>
      <c r="H67" s="65">
        <f t="shared" si="39"/>
        <v>61046.019800000002</v>
      </c>
      <c r="I67" s="65">
        <f t="shared" si="39"/>
        <v>74082.061109999995</v>
      </c>
      <c r="J67" s="65">
        <f t="shared" si="40"/>
        <v>84267.622799999997</v>
      </c>
      <c r="K67" s="65">
        <f t="shared" si="40"/>
        <v>82103.661339999977</v>
      </c>
      <c r="L67" s="65">
        <f t="shared" si="40"/>
        <v>50198.656440000006</v>
      </c>
      <c r="M67" s="65">
        <f t="shared" ref="M67:N67" si="43">SUM(M24,M53,M63)</f>
        <v>64236.568200000002</v>
      </c>
      <c r="N67" s="65">
        <f t="shared" si="43"/>
        <v>57449.209649999997</v>
      </c>
      <c r="O67" s="65">
        <f t="shared" ref="O67" si="44">SUM(O24,O53,O63)</f>
        <v>55920.98750000001</v>
      </c>
      <c r="P67" s="54">
        <f>SUM(D67:O67)</f>
        <v>702225.68833999999</v>
      </c>
      <c r="R67" s="95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</row>
    <row r="68" spans="1:32" s="63" customFormat="1">
      <c r="B68" s="96"/>
      <c r="C68" s="74" t="s">
        <v>48</v>
      </c>
      <c r="D68" s="73">
        <f t="shared" ref="D68:L68" si="45">D67/D66</f>
        <v>2.1812361450430209E-2</v>
      </c>
      <c r="E68" s="73">
        <f t="shared" si="45"/>
        <v>2.1978902331071113E-2</v>
      </c>
      <c r="F68" s="73">
        <f t="shared" si="45"/>
        <v>2.1996981360615044E-2</v>
      </c>
      <c r="G68" s="73">
        <f t="shared" si="45"/>
        <v>2.2130675247994832E-2</v>
      </c>
      <c r="H68" s="73">
        <f t="shared" si="45"/>
        <v>2.1962815769790221E-2</v>
      </c>
      <c r="I68" s="73">
        <f t="shared" si="45"/>
        <v>2.1612508857147855E-2</v>
      </c>
      <c r="J68" s="73">
        <f t="shared" si="45"/>
        <v>1.9247229332627406E-2</v>
      </c>
      <c r="K68" s="73">
        <f t="shared" si="45"/>
        <v>2.1780973123053292E-2</v>
      </c>
      <c r="L68" s="73">
        <f t="shared" si="45"/>
        <v>2.2621015052840865E-2</v>
      </c>
      <c r="M68" s="73">
        <f t="shared" ref="M68:N68" si="46">M67/M66</f>
        <v>2.4767223547701046E-2</v>
      </c>
      <c r="N68" s="73">
        <f t="shared" si="46"/>
        <v>2.5818778734741091E-2</v>
      </c>
      <c r="O68" s="73">
        <f t="shared" ref="O68" si="47">O67/O66</f>
        <v>2.5896563532984661E-2</v>
      </c>
      <c r="P68" s="73"/>
      <c r="R68" s="96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</row>
    <row r="69" spans="1:32">
      <c r="B69" s="87"/>
      <c r="C69" s="47"/>
      <c r="D69" s="314"/>
      <c r="E69" s="314"/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</row>
    <row r="71" spans="1:32">
      <c r="B71" s="87"/>
      <c r="C71" s="4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</row>
    <row r="72" spans="1:32">
      <c r="B72" s="87"/>
      <c r="C72" s="47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</row>
    <row r="73" spans="1:32" s="63" customFormat="1">
      <c r="B73" s="96"/>
      <c r="C73" s="74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</row>
    <row r="74" spans="1:32">
      <c r="B74" s="87"/>
      <c r="C74" s="47"/>
    </row>
    <row r="75" spans="1:32">
      <c r="B75" s="87"/>
    </row>
  </sheetData>
  <phoneticPr fontId="0" type="noConversion"/>
  <pageMargins left="0.75" right="0.75" top="1" bottom="1" header="0.5" footer="0.5"/>
  <pageSetup orientation="portrait" horizontalDpi="1200" verticalDpi="12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 transitionEvaluation="1" codeName="Sheet21">
    <pageSetUpPr fitToPage="1"/>
  </sheetPr>
  <dimension ref="A1:BB139"/>
  <sheetViews>
    <sheetView showGridLines="0" zoomScale="50" workbookViewId="0">
      <pane xSplit="1" ySplit="2" topLeftCell="I3" activePane="bottomRight" state="frozen"/>
      <selection activeCell="I74" sqref="I74"/>
      <selection pane="topRight" activeCell="I74" sqref="I74"/>
      <selection pane="bottomLeft" activeCell="I74" sqref="I74"/>
      <selection pane="bottomRight" activeCell="M1" sqref="M1"/>
    </sheetView>
  </sheetViews>
  <sheetFormatPr defaultColWidth="12.6640625" defaultRowHeight="20.25"/>
  <cols>
    <col min="1" max="1" width="63" style="37" bestFit="1" customWidth="1"/>
    <col min="2" max="3" width="15" style="24" bestFit="1" customWidth="1"/>
    <col min="4" max="5" width="15" style="37" bestFit="1" customWidth="1"/>
    <col min="6" max="6" width="14.33203125" style="37" bestFit="1" customWidth="1"/>
    <col min="7" max="8" width="15" style="37" bestFit="1" customWidth="1"/>
    <col min="9" max="9" width="15.88671875" style="37" bestFit="1" customWidth="1"/>
    <col min="10" max="13" width="14.33203125" style="37" bestFit="1" customWidth="1"/>
    <col min="14" max="14" width="17.44140625" style="37" bestFit="1" customWidth="1"/>
    <col min="15" max="15" width="14.33203125" style="37" bestFit="1" customWidth="1"/>
    <col min="16" max="16" width="15.88671875" style="37" bestFit="1" customWidth="1"/>
    <col min="17" max="18" width="13" style="37" bestFit="1" customWidth="1"/>
    <col min="19" max="19" width="59" style="37" bestFit="1" customWidth="1"/>
    <col min="20" max="31" width="14.33203125" style="37" bestFit="1" customWidth="1"/>
    <col min="32" max="32" width="17.44140625" style="37" bestFit="1" customWidth="1"/>
    <col min="33" max="33" width="13.44140625" style="37" bestFit="1" customWidth="1"/>
    <col min="34" max="36" width="13" style="37" bestFit="1" customWidth="1"/>
    <col min="37" max="37" width="59" style="37" bestFit="1" customWidth="1"/>
    <col min="38" max="49" width="14.33203125" style="37" bestFit="1" customWidth="1"/>
    <col min="50" max="50" width="17.44140625" style="37" bestFit="1" customWidth="1"/>
    <col min="51" max="51" width="13.44140625" style="37" bestFit="1" customWidth="1"/>
    <col min="52" max="54" width="13" style="37" bestFit="1" customWidth="1"/>
    <col min="55" max="16384" width="12.6640625" style="37"/>
  </cols>
  <sheetData>
    <row r="1" spans="1:54">
      <c r="B1" s="13" t="s">
        <v>916</v>
      </c>
      <c r="C1" s="13" t="s">
        <v>916</v>
      </c>
      <c r="D1" s="13" t="s">
        <v>916</v>
      </c>
      <c r="E1" s="13" t="s">
        <v>916</v>
      </c>
      <c r="F1" s="13" t="s">
        <v>916</v>
      </c>
      <c r="G1" s="13" t="s">
        <v>916</v>
      </c>
      <c r="H1" s="13" t="s">
        <v>916</v>
      </c>
      <c r="I1" s="13" t="s">
        <v>916</v>
      </c>
      <c r="J1" s="13" t="s">
        <v>916</v>
      </c>
      <c r="K1" s="13" t="s">
        <v>916</v>
      </c>
      <c r="L1" s="13" t="s">
        <v>916</v>
      </c>
      <c r="M1" s="13" t="s">
        <v>936</v>
      </c>
      <c r="N1" s="335"/>
      <c r="O1" s="336" t="s">
        <v>880</v>
      </c>
      <c r="P1" s="336" t="s">
        <v>880</v>
      </c>
      <c r="Q1" s="336" t="s">
        <v>880</v>
      </c>
      <c r="R1" s="336" t="s">
        <v>880</v>
      </c>
      <c r="T1" s="13" t="s">
        <v>114</v>
      </c>
      <c r="U1" s="13" t="s">
        <v>114</v>
      </c>
      <c r="V1" s="13" t="s">
        <v>114</v>
      </c>
      <c r="W1" s="13" t="s">
        <v>114</v>
      </c>
      <c r="X1" s="13" t="s">
        <v>114</v>
      </c>
      <c r="Y1" s="13" t="s">
        <v>114</v>
      </c>
      <c r="Z1" s="13" t="s">
        <v>114</v>
      </c>
      <c r="AA1" s="13" t="s">
        <v>114</v>
      </c>
      <c r="AB1" s="13" t="s">
        <v>114</v>
      </c>
      <c r="AC1" s="13" t="s">
        <v>114</v>
      </c>
      <c r="AD1" s="13" t="s">
        <v>114</v>
      </c>
      <c r="AE1" s="13" t="s">
        <v>114</v>
      </c>
      <c r="AF1" s="335"/>
      <c r="AG1" s="336">
        <v>1213</v>
      </c>
      <c r="AH1" s="336">
        <v>1213</v>
      </c>
      <c r="AI1" s="336">
        <v>1213</v>
      </c>
      <c r="AJ1" s="336">
        <v>1213</v>
      </c>
      <c r="AL1" s="13" t="s">
        <v>114</v>
      </c>
      <c r="AM1" s="13" t="s">
        <v>114</v>
      </c>
      <c r="AN1" s="13" t="s">
        <v>114</v>
      </c>
      <c r="AO1" s="13" t="s">
        <v>114</v>
      </c>
      <c r="AP1" s="13" t="s">
        <v>114</v>
      </c>
      <c r="AQ1" s="13" t="s">
        <v>114</v>
      </c>
      <c r="AR1" s="13" t="s">
        <v>114</v>
      </c>
      <c r="AS1" s="13" t="s">
        <v>114</v>
      </c>
      <c r="AT1" s="13" t="s">
        <v>114</v>
      </c>
      <c r="AU1" s="13" t="s">
        <v>114</v>
      </c>
      <c r="AV1" s="13" t="s">
        <v>114</v>
      </c>
      <c r="AW1" s="13" t="s">
        <v>114</v>
      </c>
      <c r="AX1" s="335"/>
      <c r="AY1" s="336">
        <v>1314</v>
      </c>
      <c r="AZ1" s="336">
        <v>1314</v>
      </c>
      <c r="BA1" s="336">
        <v>1314</v>
      </c>
      <c r="BB1" s="336">
        <v>1314</v>
      </c>
    </row>
    <row r="2" spans="1:54">
      <c r="B2" s="14">
        <v>40725</v>
      </c>
      <c r="C2" s="14">
        <v>40756</v>
      </c>
      <c r="D2" s="14">
        <v>40787</v>
      </c>
      <c r="E2" s="14">
        <v>40817</v>
      </c>
      <c r="F2" s="14">
        <v>40848</v>
      </c>
      <c r="G2" s="14">
        <v>40878</v>
      </c>
      <c r="H2" s="14">
        <v>40909</v>
      </c>
      <c r="I2" s="14">
        <v>40940</v>
      </c>
      <c r="J2" s="14">
        <v>40969</v>
      </c>
      <c r="K2" s="14">
        <v>41000</v>
      </c>
      <c r="L2" s="14">
        <v>41030</v>
      </c>
      <c r="M2" s="14">
        <v>41061</v>
      </c>
      <c r="N2" s="13" t="s">
        <v>857</v>
      </c>
      <c r="O2" s="13" t="s">
        <v>146</v>
      </c>
      <c r="P2" s="13" t="s">
        <v>147</v>
      </c>
      <c r="Q2" s="13" t="s">
        <v>48</v>
      </c>
      <c r="R2" s="13" t="s">
        <v>104</v>
      </c>
      <c r="T2" s="14">
        <v>41091</v>
      </c>
      <c r="U2" s="14">
        <v>41122</v>
      </c>
      <c r="V2" s="14">
        <v>41153</v>
      </c>
      <c r="W2" s="14">
        <v>41183</v>
      </c>
      <c r="X2" s="14">
        <v>41214</v>
      </c>
      <c r="Y2" s="14">
        <v>41244</v>
      </c>
      <c r="Z2" s="14">
        <v>41275</v>
      </c>
      <c r="AA2" s="14">
        <v>41306</v>
      </c>
      <c r="AB2" s="14">
        <v>41334</v>
      </c>
      <c r="AC2" s="14">
        <v>41365</v>
      </c>
      <c r="AD2" s="14">
        <v>41395</v>
      </c>
      <c r="AE2" s="14">
        <v>41426</v>
      </c>
      <c r="AF2" s="13" t="s">
        <v>878</v>
      </c>
      <c r="AG2" s="13" t="s">
        <v>146</v>
      </c>
      <c r="AH2" s="13" t="s">
        <v>147</v>
      </c>
      <c r="AI2" s="13" t="s">
        <v>48</v>
      </c>
      <c r="AJ2" s="13" t="s">
        <v>104</v>
      </c>
      <c r="AL2" s="14">
        <v>41456</v>
      </c>
      <c r="AM2" s="14">
        <v>41487</v>
      </c>
      <c r="AN2" s="14">
        <v>41518</v>
      </c>
      <c r="AO2" s="14">
        <v>41548</v>
      </c>
      <c r="AP2" s="14">
        <v>41579</v>
      </c>
      <c r="AQ2" s="14">
        <v>41609</v>
      </c>
      <c r="AR2" s="14">
        <v>41640</v>
      </c>
      <c r="AS2" s="14">
        <v>41671</v>
      </c>
      <c r="AT2" s="14">
        <v>41699</v>
      </c>
      <c r="AU2" s="14">
        <v>41730</v>
      </c>
      <c r="AV2" s="14">
        <v>41760</v>
      </c>
      <c r="AW2" s="14">
        <v>41791</v>
      </c>
      <c r="AX2" s="13" t="s">
        <v>906</v>
      </c>
      <c r="AY2" s="13" t="s">
        <v>146</v>
      </c>
      <c r="AZ2" s="13" t="s">
        <v>147</v>
      </c>
      <c r="BA2" s="13" t="s">
        <v>48</v>
      </c>
      <c r="BB2" s="13" t="s">
        <v>104</v>
      </c>
    </row>
    <row r="3" spans="1:54" ht="26.25">
      <c r="A3" s="337" t="s">
        <v>390</v>
      </c>
      <c r="B3" s="15"/>
      <c r="C3" s="15"/>
      <c r="D3" s="15"/>
      <c r="E3" s="306"/>
      <c r="F3" s="15"/>
      <c r="G3" s="15"/>
      <c r="H3" s="15"/>
      <c r="I3" s="15"/>
      <c r="J3" s="15"/>
      <c r="K3" s="15"/>
      <c r="L3" s="15"/>
      <c r="M3" s="15"/>
      <c r="N3" s="15"/>
      <c r="O3" s="24"/>
      <c r="P3" s="24"/>
      <c r="Q3" s="24"/>
      <c r="R3" s="24"/>
      <c r="S3" s="337" t="s">
        <v>390</v>
      </c>
      <c r="T3" s="15"/>
      <c r="U3" s="15"/>
      <c r="V3" s="15"/>
      <c r="W3" s="15"/>
      <c r="Y3" s="15"/>
      <c r="Z3" s="15"/>
      <c r="AA3" s="15"/>
      <c r="AB3" s="15"/>
      <c r="AC3" s="15"/>
      <c r="AD3" s="15"/>
      <c r="AE3" s="15"/>
      <c r="AF3" s="15"/>
      <c r="AG3" s="24"/>
      <c r="AH3" s="24"/>
      <c r="AI3" s="24"/>
      <c r="AJ3" s="24"/>
      <c r="AK3" s="337" t="s">
        <v>390</v>
      </c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24"/>
      <c r="AZ3" s="24"/>
      <c r="BA3" s="24"/>
      <c r="BB3" s="24"/>
    </row>
    <row r="4" spans="1:54">
      <c r="A4" s="35"/>
      <c r="B4" s="15"/>
      <c r="C4" s="15"/>
      <c r="D4" s="15"/>
      <c r="E4" s="15"/>
      <c r="F4" s="23"/>
      <c r="G4" s="15"/>
      <c r="H4" s="15"/>
      <c r="I4" s="15"/>
      <c r="J4" s="15"/>
      <c r="K4" s="15"/>
      <c r="L4" s="15"/>
      <c r="M4" s="15"/>
      <c r="N4" s="15"/>
      <c r="O4" s="24"/>
      <c r="P4" s="24"/>
      <c r="Q4" s="24"/>
      <c r="R4" s="24"/>
      <c r="S4" s="3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24"/>
      <c r="AH4" s="24"/>
      <c r="AI4" s="24"/>
      <c r="AJ4" s="24"/>
      <c r="AK4" s="3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24"/>
      <c r="AZ4" s="24"/>
      <c r="BA4" s="24"/>
      <c r="BB4" s="24"/>
    </row>
    <row r="5" spans="1:54">
      <c r="A5" s="35" t="s">
        <v>167</v>
      </c>
      <c r="B5" s="15">
        <f>9054+6000</f>
        <v>15054</v>
      </c>
      <c r="C5" s="15">
        <f t="shared" ref="C5:M5" si="0">9054+6000</f>
        <v>15054</v>
      </c>
      <c r="D5" s="15">
        <f t="shared" si="0"/>
        <v>15054</v>
      </c>
      <c r="E5" s="15">
        <f t="shared" si="0"/>
        <v>15054</v>
      </c>
      <c r="F5" s="15">
        <f t="shared" si="0"/>
        <v>15054</v>
      </c>
      <c r="G5" s="15">
        <f t="shared" si="0"/>
        <v>15054</v>
      </c>
      <c r="H5" s="15">
        <f t="shared" si="0"/>
        <v>15054</v>
      </c>
      <c r="I5" s="15">
        <f t="shared" si="0"/>
        <v>15054</v>
      </c>
      <c r="J5" s="15">
        <f t="shared" si="0"/>
        <v>15054</v>
      </c>
      <c r="K5" s="15">
        <f t="shared" si="0"/>
        <v>15054</v>
      </c>
      <c r="L5" s="15">
        <f t="shared" si="0"/>
        <v>15054</v>
      </c>
      <c r="M5" s="15">
        <f t="shared" si="0"/>
        <v>15054</v>
      </c>
      <c r="N5" s="15"/>
      <c r="O5" s="24"/>
      <c r="P5" s="28"/>
      <c r="Q5" s="24"/>
      <c r="R5" s="24"/>
      <c r="S5" s="35" t="s">
        <v>167</v>
      </c>
      <c r="T5" s="15">
        <f>9054+6000</f>
        <v>15054</v>
      </c>
      <c r="U5" s="15">
        <f t="shared" ref="U5:AE5" si="1">9054+6000</f>
        <v>15054</v>
      </c>
      <c r="V5" s="15">
        <f t="shared" si="1"/>
        <v>15054</v>
      </c>
      <c r="W5" s="15">
        <f t="shared" si="1"/>
        <v>15054</v>
      </c>
      <c r="X5" s="15">
        <f t="shared" si="1"/>
        <v>15054</v>
      </c>
      <c r="Y5" s="15">
        <f t="shared" si="1"/>
        <v>15054</v>
      </c>
      <c r="Z5" s="15">
        <f t="shared" si="1"/>
        <v>15054</v>
      </c>
      <c r="AA5" s="15">
        <f t="shared" si="1"/>
        <v>15054</v>
      </c>
      <c r="AB5" s="15">
        <f t="shared" si="1"/>
        <v>15054</v>
      </c>
      <c r="AC5" s="15">
        <f t="shared" si="1"/>
        <v>15054</v>
      </c>
      <c r="AD5" s="15">
        <f t="shared" si="1"/>
        <v>15054</v>
      </c>
      <c r="AE5" s="15">
        <f t="shared" si="1"/>
        <v>15054</v>
      </c>
      <c r="AF5" s="15"/>
      <c r="AG5" s="24"/>
      <c r="AH5" s="28"/>
      <c r="AI5" s="24"/>
      <c r="AJ5" s="24"/>
      <c r="AK5" s="35" t="s">
        <v>167</v>
      </c>
      <c r="AL5" s="15">
        <f>9054+6000</f>
        <v>15054</v>
      </c>
      <c r="AM5" s="15">
        <f t="shared" ref="AM5:AW5" si="2">9054+6000</f>
        <v>15054</v>
      </c>
      <c r="AN5" s="15">
        <f t="shared" si="2"/>
        <v>15054</v>
      </c>
      <c r="AO5" s="15">
        <f t="shared" si="2"/>
        <v>15054</v>
      </c>
      <c r="AP5" s="15">
        <f t="shared" si="2"/>
        <v>15054</v>
      </c>
      <c r="AQ5" s="15">
        <f t="shared" si="2"/>
        <v>15054</v>
      </c>
      <c r="AR5" s="15">
        <f t="shared" si="2"/>
        <v>15054</v>
      </c>
      <c r="AS5" s="15">
        <f t="shared" si="2"/>
        <v>15054</v>
      </c>
      <c r="AT5" s="15">
        <f t="shared" si="2"/>
        <v>15054</v>
      </c>
      <c r="AU5" s="15">
        <f t="shared" si="2"/>
        <v>15054</v>
      </c>
      <c r="AV5" s="15">
        <f t="shared" si="2"/>
        <v>15054</v>
      </c>
      <c r="AW5" s="15">
        <f t="shared" si="2"/>
        <v>15054</v>
      </c>
      <c r="AX5" s="15"/>
      <c r="AY5" s="24"/>
      <c r="AZ5" s="28"/>
      <c r="BA5" s="24"/>
      <c r="BB5" s="24"/>
    </row>
    <row r="6" spans="1:54">
      <c r="A6" s="35" t="s">
        <v>168</v>
      </c>
      <c r="B6" s="410">
        <v>4.3075000000000001</v>
      </c>
      <c r="C6" s="410">
        <v>4.3075000000000001</v>
      </c>
      <c r="D6" s="410">
        <v>4.3075000000000001</v>
      </c>
      <c r="E6" s="410">
        <v>4.3075000000000001</v>
      </c>
      <c r="F6" s="410">
        <v>4.3040000000000003</v>
      </c>
      <c r="G6" s="410">
        <v>4.3040000000000003</v>
      </c>
      <c r="H6" s="410">
        <v>4.3040000000000003</v>
      </c>
      <c r="I6" s="410">
        <v>4.3040000000000003</v>
      </c>
      <c r="J6" s="410">
        <v>4.3040000000000003</v>
      </c>
      <c r="K6" s="410">
        <v>4.3040000000000003</v>
      </c>
      <c r="L6" s="410">
        <v>4.3040000000000003</v>
      </c>
      <c r="M6" s="410">
        <v>4.3040000000000003</v>
      </c>
      <c r="N6" s="15"/>
      <c r="O6" s="24"/>
      <c r="P6" s="24"/>
      <c r="Q6" s="24"/>
      <c r="R6" s="24"/>
      <c r="S6" s="35" t="s">
        <v>168</v>
      </c>
      <c r="T6" s="17">
        <v>4.3499999999999996</v>
      </c>
      <c r="U6" s="17">
        <v>4.3499999999999996</v>
      </c>
      <c r="V6" s="17">
        <v>4.3499999999999996</v>
      </c>
      <c r="W6" s="17">
        <v>4.3499999999999996</v>
      </c>
      <c r="X6" s="17">
        <v>4.3499999999999996</v>
      </c>
      <c r="Y6" s="17">
        <v>4.3499999999999996</v>
      </c>
      <c r="Z6" s="17">
        <v>4.3499999999999996</v>
      </c>
      <c r="AA6" s="17">
        <v>4.3499999999999996</v>
      </c>
      <c r="AB6" s="17">
        <v>4.3499999999999996</v>
      </c>
      <c r="AC6" s="17">
        <v>4.3499999999999996</v>
      </c>
      <c r="AD6" s="17">
        <v>4.3499999999999996</v>
      </c>
      <c r="AE6" s="17">
        <v>4.3499999999999996</v>
      </c>
      <c r="AF6" s="15"/>
      <c r="AG6" s="24"/>
      <c r="AH6" s="24"/>
      <c r="AI6" s="24"/>
      <c r="AJ6" s="24"/>
      <c r="AK6" s="35" t="s">
        <v>168</v>
      </c>
      <c r="AL6" s="17">
        <v>4.3499999999999996</v>
      </c>
      <c r="AM6" s="17">
        <v>4.3499999999999996</v>
      </c>
      <c r="AN6" s="17">
        <v>4.3499999999999996</v>
      </c>
      <c r="AO6" s="17">
        <v>4.3499999999999996</v>
      </c>
      <c r="AP6" s="17">
        <v>4.3499999999999996</v>
      </c>
      <c r="AQ6" s="17">
        <v>4.3499999999999996</v>
      </c>
      <c r="AR6" s="17">
        <v>4.3499999999999996</v>
      </c>
      <c r="AS6" s="17">
        <v>4.3499999999999996</v>
      </c>
      <c r="AT6" s="17">
        <v>4.3499999999999996</v>
      </c>
      <c r="AU6" s="17">
        <v>4.3499999999999996</v>
      </c>
      <c r="AV6" s="17">
        <v>4.3499999999999996</v>
      </c>
      <c r="AW6" s="17">
        <v>4.3499999999999996</v>
      </c>
      <c r="AX6" s="15"/>
      <c r="AY6" s="24"/>
      <c r="AZ6" s="24"/>
      <c r="BA6" s="24"/>
      <c r="BB6" s="24"/>
    </row>
    <row r="7" spans="1:54">
      <c r="A7" s="35" t="s">
        <v>169</v>
      </c>
      <c r="B7" s="18">
        <f t="shared" ref="B7:M7" si="3">+B5*B6</f>
        <v>64845.105000000003</v>
      </c>
      <c r="C7" s="18">
        <f t="shared" si="3"/>
        <v>64845.105000000003</v>
      </c>
      <c r="D7" s="18">
        <f t="shared" si="3"/>
        <v>64845.105000000003</v>
      </c>
      <c r="E7" s="18">
        <f t="shared" si="3"/>
        <v>64845.105000000003</v>
      </c>
      <c r="F7" s="18">
        <f t="shared" si="3"/>
        <v>64792.416000000005</v>
      </c>
      <c r="G7" s="18">
        <f t="shared" si="3"/>
        <v>64792.416000000005</v>
      </c>
      <c r="H7" s="18">
        <f t="shared" si="3"/>
        <v>64792.416000000005</v>
      </c>
      <c r="I7" s="18">
        <f t="shared" si="3"/>
        <v>64792.416000000005</v>
      </c>
      <c r="J7" s="18">
        <f t="shared" si="3"/>
        <v>64792.416000000005</v>
      </c>
      <c r="K7" s="18">
        <f t="shared" si="3"/>
        <v>64792.416000000005</v>
      </c>
      <c r="L7" s="18">
        <f t="shared" si="3"/>
        <v>64792.416000000005</v>
      </c>
      <c r="M7" s="18">
        <f t="shared" si="3"/>
        <v>64792.416000000005</v>
      </c>
      <c r="N7" s="18">
        <f>SUM(B7:M7)</f>
        <v>777719.74800000002</v>
      </c>
      <c r="O7" s="24"/>
      <c r="P7" s="24"/>
      <c r="Q7" s="24"/>
      <c r="R7" s="24"/>
      <c r="S7" s="35" t="s">
        <v>169</v>
      </c>
      <c r="T7" s="18">
        <f t="shared" ref="T7:AE7" si="4">+T5*T6</f>
        <v>65484.899999999994</v>
      </c>
      <c r="U7" s="18">
        <f t="shared" si="4"/>
        <v>65484.899999999994</v>
      </c>
      <c r="V7" s="18">
        <f t="shared" si="4"/>
        <v>65484.899999999994</v>
      </c>
      <c r="W7" s="18">
        <f t="shared" si="4"/>
        <v>65484.899999999994</v>
      </c>
      <c r="X7" s="18">
        <f t="shared" si="4"/>
        <v>65484.899999999994</v>
      </c>
      <c r="Y7" s="18">
        <f t="shared" si="4"/>
        <v>65484.899999999994</v>
      </c>
      <c r="Z7" s="18">
        <f t="shared" si="4"/>
        <v>65484.899999999994</v>
      </c>
      <c r="AA7" s="18">
        <f t="shared" si="4"/>
        <v>65484.899999999994</v>
      </c>
      <c r="AB7" s="18">
        <f t="shared" si="4"/>
        <v>65484.899999999994</v>
      </c>
      <c r="AC7" s="18">
        <f t="shared" si="4"/>
        <v>65484.899999999994</v>
      </c>
      <c r="AD7" s="18">
        <f t="shared" si="4"/>
        <v>65484.899999999994</v>
      </c>
      <c r="AE7" s="18">
        <f t="shared" si="4"/>
        <v>65484.899999999994</v>
      </c>
      <c r="AF7" s="18">
        <f>SUM(T7:AE7)</f>
        <v>785818.80000000016</v>
      </c>
      <c r="AG7" s="24"/>
      <c r="AH7" s="24"/>
      <c r="AI7" s="24"/>
      <c r="AJ7" s="24"/>
      <c r="AK7" s="35" t="s">
        <v>169</v>
      </c>
      <c r="AL7" s="18">
        <f t="shared" ref="AL7:AW7" si="5">+AL5*AL6</f>
        <v>65484.899999999994</v>
      </c>
      <c r="AM7" s="18">
        <f t="shared" si="5"/>
        <v>65484.899999999994</v>
      </c>
      <c r="AN7" s="18">
        <f t="shared" si="5"/>
        <v>65484.899999999994</v>
      </c>
      <c r="AO7" s="18">
        <f t="shared" si="5"/>
        <v>65484.899999999994</v>
      </c>
      <c r="AP7" s="18">
        <f t="shared" si="5"/>
        <v>65484.899999999994</v>
      </c>
      <c r="AQ7" s="18">
        <f t="shared" si="5"/>
        <v>65484.899999999994</v>
      </c>
      <c r="AR7" s="18">
        <f t="shared" si="5"/>
        <v>65484.899999999994</v>
      </c>
      <c r="AS7" s="18">
        <f t="shared" si="5"/>
        <v>65484.899999999994</v>
      </c>
      <c r="AT7" s="18">
        <f t="shared" si="5"/>
        <v>65484.899999999994</v>
      </c>
      <c r="AU7" s="18">
        <f t="shared" si="5"/>
        <v>65484.899999999994</v>
      </c>
      <c r="AV7" s="18">
        <f t="shared" si="5"/>
        <v>65484.899999999994</v>
      </c>
      <c r="AW7" s="18">
        <f t="shared" si="5"/>
        <v>65484.899999999994</v>
      </c>
      <c r="AX7" s="18">
        <f>SUM(AL7:AW7)</f>
        <v>785818.80000000016</v>
      </c>
      <c r="AY7" s="24"/>
      <c r="AZ7" s="24"/>
      <c r="BA7" s="24"/>
      <c r="BB7" s="24"/>
    </row>
    <row r="8" spans="1:54">
      <c r="A8" s="35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24"/>
      <c r="P8" s="24"/>
      <c r="Q8" s="24"/>
      <c r="R8" s="24"/>
      <c r="S8" s="35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24"/>
      <c r="AH8" s="24"/>
      <c r="AI8" s="24"/>
      <c r="AJ8" s="24"/>
      <c r="AK8" s="35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24"/>
      <c r="AZ8" s="24"/>
      <c r="BA8" s="24"/>
      <c r="BB8" s="24"/>
    </row>
    <row r="9" spans="1:54">
      <c r="A9" s="35" t="s">
        <v>170</v>
      </c>
      <c r="B9" s="15">
        <v>25000</v>
      </c>
      <c r="C9" s="15">
        <v>25000</v>
      </c>
      <c r="D9" s="15">
        <v>25000</v>
      </c>
      <c r="E9" s="15">
        <v>25000</v>
      </c>
      <c r="F9" s="15">
        <v>25000</v>
      </c>
      <c r="G9" s="15">
        <v>25000</v>
      </c>
      <c r="H9" s="15">
        <v>25000</v>
      </c>
      <c r="I9" s="15">
        <v>25000</v>
      </c>
      <c r="J9" s="15">
        <v>25000</v>
      </c>
      <c r="K9" s="15">
        <v>25000</v>
      </c>
      <c r="L9" s="15">
        <v>25000</v>
      </c>
      <c r="M9" s="15">
        <v>25000</v>
      </c>
      <c r="N9" s="18"/>
      <c r="O9" s="24"/>
      <c r="P9" s="24"/>
      <c r="Q9" s="24"/>
      <c r="R9" s="24"/>
      <c r="S9" s="35" t="s">
        <v>170</v>
      </c>
      <c r="T9" s="15">
        <v>25000</v>
      </c>
      <c r="U9" s="15">
        <v>25000</v>
      </c>
      <c r="V9" s="15">
        <v>25000</v>
      </c>
      <c r="W9" s="15">
        <v>25000</v>
      </c>
      <c r="X9" s="15">
        <v>25000</v>
      </c>
      <c r="Y9" s="15">
        <v>25000</v>
      </c>
      <c r="Z9" s="15">
        <v>25000</v>
      </c>
      <c r="AA9" s="15">
        <v>25000</v>
      </c>
      <c r="AB9" s="15">
        <v>25000</v>
      </c>
      <c r="AC9" s="15">
        <v>25000</v>
      </c>
      <c r="AD9" s="15">
        <v>25000</v>
      </c>
      <c r="AE9" s="15">
        <v>25000</v>
      </c>
      <c r="AF9" s="18"/>
      <c r="AG9" s="24"/>
      <c r="AH9" s="24"/>
      <c r="AI9" s="24"/>
      <c r="AJ9" s="24"/>
      <c r="AK9" s="35" t="s">
        <v>170</v>
      </c>
      <c r="AL9" s="15">
        <v>25000</v>
      </c>
      <c r="AM9" s="15">
        <v>25000</v>
      </c>
      <c r="AN9" s="15">
        <v>25000</v>
      </c>
      <c r="AO9" s="15">
        <v>25000</v>
      </c>
      <c r="AP9" s="15">
        <v>25000</v>
      </c>
      <c r="AQ9" s="15">
        <v>25000</v>
      </c>
      <c r="AR9" s="15">
        <v>25000</v>
      </c>
      <c r="AS9" s="15">
        <v>25000</v>
      </c>
      <c r="AT9" s="15">
        <v>25000</v>
      </c>
      <c r="AU9" s="15">
        <v>25000</v>
      </c>
      <c r="AV9" s="15">
        <v>25000</v>
      </c>
      <c r="AW9" s="15">
        <v>25000</v>
      </c>
      <c r="AX9" s="18"/>
      <c r="AY9" s="24"/>
      <c r="AZ9" s="24"/>
      <c r="BA9" s="24"/>
      <c r="BB9" s="24"/>
    </row>
    <row r="10" spans="1:54">
      <c r="A10" s="35" t="s">
        <v>171</v>
      </c>
      <c r="B10" s="414">
        <v>10.182499999999999</v>
      </c>
      <c r="C10" s="414">
        <v>10.182499999999999</v>
      </c>
      <c r="D10" s="414">
        <v>10.182499999999999</v>
      </c>
      <c r="E10" s="414">
        <v>10.182499999999999</v>
      </c>
      <c r="F10" s="414">
        <v>10.179</v>
      </c>
      <c r="G10" s="414">
        <v>10.179</v>
      </c>
      <c r="H10" s="414">
        <v>10.179</v>
      </c>
      <c r="I10" s="414">
        <v>10.179</v>
      </c>
      <c r="J10" s="414">
        <v>10.179</v>
      </c>
      <c r="K10" s="414">
        <v>10.179</v>
      </c>
      <c r="L10" s="414">
        <v>10.179</v>
      </c>
      <c r="M10" s="414">
        <v>10.179</v>
      </c>
      <c r="N10" s="18"/>
      <c r="O10" s="24"/>
      <c r="P10" s="24"/>
      <c r="Q10" s="24"/>
      <c r="R10" s="24"/>
      <c r="S10" s="35" t="s">
        <v>171</v>
      </c>
      <c r="T10" s="23">
        <v>10.25</v>
      </c>
      <c r="U10" s="23">
        <v>10.25</v>
      </c>
      <c r="V10" s="23">
        <v>10.25</v>
      </c>
      <c r="W10" s="23">
        <v>10.25</v>
      </c>
      <c r="X10" s="23">
        <v>10.25</v>
      </c>
      <c r="Y10" s="23">
        <v>10.25</v>
      </c>
      <c r="Z10" s="23">
        <v>10.25</v>
      </c>
      <c r="AA10" s="23">
        <v>10.25</v>
      </c>
      <c r="AB10" s="23">
        <v>10.25</v>
      </c>
      <c r="AC10" s="23">
        <v>10.25</v>
      </c>
      <c r="AD10" s="23">
        <v>10.25</v>
      </c>
      <c r="AE10" s="23">
        <v>10.25</v>
      </c>
      <c r="AF10" s="18"/>
      <c r="AG10" s="24"/>
      <c r="AH10" s="24"/>
      <c r="AI10" s="24"/>
      <c r="AJ10" s="24"/>
      <c r="AK10" s="35" t="s">
        <v>171</v>
      </c>
      <c r="AL10" s="23">
        <v>10.25</v>
      </c>
      <c r="AM10" s="23">
        <v>10.25</v>
      </c>
      <c r="AN10" s="23">
        <v>10.25</v>
      </c>
      <c r="AO10" s="23">
        <v>10.25</v>
      </c>
      <c r="AP10" s="23">
        <v>10.25</v>
      </c>
      <c r="AQ10" s="23">
        <v>10.25</v>
      </c>
      <c r="AR10" s="23">
        <v>10.25</v>
      </c>
      <c r="AS10" s="23">
        <v>10.25</v>
      </c>
      <c r="AT10" s="23">
        <v>10.25</v>
      </c>
      <c r="AU10" s="23">
        <v>10.25</v>
      </c>
      <c r="AV10" s="23">
        <v>10.25</v>
      </c>
      <c r="AW10" s="23">
        <v>10.25</v>
      </c>
      <c r="AX10" s="18"/>
      <c r="AY10" s="24"/>
      <c r="AZ10" s="24"/>
      <c r="BA10" s="24"/>
      <c r="BB10" s="24"/>
    </row>
    <row r="11" spans="1:54">
      <c r="A11" s="35" t="s">
        <v>172</v>
      </c>
      <c r="B11" s="18">
        <f t="shared" ref="B11:M11" si="6">B9*B10</f>
        <v>254562.49999999997</v>
      </c>
      <c r="C11" s="18">
        <f t="shared" si="6"/>
        <v>254562.49999999997</v>
      </c>
      <c r="D11" s="18">
        <f t="shared" si="6"/>
        <v>254562.49999999997</v>
      </c>
      <c r="E11" s="18">
        <f t="shared" si="6"/>
        <v>254562.49999999997</v>
      </c>
      <c r="F11" s="18">
        <f t="shared" si="6"/>
        <v>254475</v>
      </c>
      <c r="G11" s="18">
        <f t="shared" si="6"/>
        <v>254475</v>
      </c>
      <c r="H11" s="18">
        <f t="shared" si="6"/>
        <v>254475</v>
      </c>
      <c r="I11" s="18">
        <f t="shared" si="6"/>
        <v>254475</v>
      </c>
      <c r="J11" s="18">
        <f t="shared" si="6"/>
        <v>254475</v>
      </c>
      <c r="K11" s="18">
        <f t="shared" si="6"/>
        <v>254475</v>
      </c>
      <c r="L11" s="18">
        <f t="shared" si="6"/>
        <v>254475</v>
      </c>
      <c r="M11" s="18">
        <f t="shared" si="6"/>
        <v>254475</v>
      </c>
      <c r="N11" s="18">
        <f>SUM(B11:M11)</f>
        <v>3054050</v>
      </c>
      <c r="O11" s="24"/>
      <c r="P11" s="24"/>
      <c r="Q11" s="24"/>
      <c r="R11" s="24"/>
      <c r="S11" s="35" t="s">
        <v>172</v>
      </c>
      <c r="T11" s="18">
        <f t="shared" ref="T11:AE11" si="7">T9*T10</f>
        <v>256250</v>
      </c>
      <c r="U11" s="18">
        <f t="shared" si="7"/>
        <v>256250</v>
      </c>
      <c r="V11" s="18">
        <f t="shared" si="7"/>
        <v>256250</v>
      </c>
      <c r="W11" s="18">
        <f t="shared" si="7"/>
        <v>256250</v>
      </c>
      <c r="X11" s="18">
        <f t="shared" si="7"/>
        <v>256250</v>
      </c>
      <c r="Y11" s="18">
        <f t="shared" si="7"/>
        <v>256250</v>
      </c>
      <c r="Z11" s="18">
        <f t="shared" si="7"/>
        <v>256250</v>
      </c>
      <c r="AA11" s="18">
        <f t="shared" si="7"/>
        <v>256250</v>
      </c>
      <c r="AB11" s="18">
        <f t="shared" si="7"/>
        <v>256250</v>
      </c>
      <c r="AC11" s="18">
        <f t="shared" si="7"/>
        <v>256250</v>
      </c>
      <c r="AD11" s="18">
        <f t="shared" si="7"/>
        <v>256250</v>
      </c>
      <c r="AE11" s="18">
        <f t="shared" si="7"/>
        <v>256250</v>
      </c>
      <c r="AF11" s="18">
        <f>SUM(T11:AE11)</f>
        <v>3075000</v>
      </c>
      <c r="AG11" s="24"/>
      <c r="AH11" s="24"/>
      <c r="AI11" s="24"/>
      <c r="AJ11" s="24"/>
      <c r="AK11" s="35" t="s">
        <v>172</v>
      </c>
      <c r="AL11" s="18">
        <f t="shared" ref="AL11:AW11" si="8">AL9*AL10</f>
        <v>256250</v>
      </c>
      <c r="AM11" s="18">
        <f t="shared" si="8"/>
        <v>256250</v>
      </c>
      <c r="AN11" s="18">
        <f t="shared" si="8"/>
        <v>256250</v>
      </c>
      <c r="AO11" s="18">
        <f t="shared" si="8"/>
        <v>256250</v>
      </c>
      <c r="AP11" s="18">
        <f t="shared" si="8"/>
        <v>256250</v>
      </c>
      <c r="AQ11" s="18">
        <f t="shared" si="8"/>
        <v>256250</v>
      </c>
      <c r="AR11" s="18">
        <f t="shared" si="8"/>
        <v>256250</v>
      </c>
      <c r="AS11" s="18">
        <f t="shared" si="8"/>
        <v>256250</v>
      </c>
      <c r="AT11" s="18">
        <f t="shared" si="8"/>
        <v>256250</v>
      </c>
      <c r="AU11" s="18">
        <f t="shared" si="8"/>
        <v>256250</v>
      </c>
      <c r="AV11" s="18">
        <f t="shared" si="8"/>
        <v>256250</v>
      </c>
      <c r="AW11" s="18">
        <f t="shared" si="8"/>
        <v>256250</v>
      </c>
      <c r="AX11" s="18">
        <f>SUM(AL11:AW11)</f>
        <v>3075000</v>
      </c>
      <c r="AY11" s="24"/>
      <c r="AZ11" s="24"/>
      <c r="BA11" s="24"/>
      <c r="BB11" s="24"/>
    </row>
    <row r="12" spans="1:54">
      <c r="A12" s="35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24"/>
      <c r="P12" s="24"/>
      <c r="Q12" s="24"/>
      <c r="R12" s="24"/>
      <c r="S12" s="35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24"/>
      <c r="AH12" s="24"/>
      <c r="AI12" s="24"/>
      <c r="AJ12" s="24"/>
      <c r="AK12" s="35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24"/>
      <c r="AZ12" s="24"/>
      <c r="BA12" s="24"/>
      <c r="BB12" s="24"/>
    </row>
    <row r="13" spans="1:54">
      <c r="A13" s="35" t="s">
        <v>467</v>
      </c>
      <c r="B13" s="18">
        <v>2400</v>
      </c>
      <c r="C13" s="18">
        <v>2400</v>
      </c>
      <c r="D13" s="18">
        <v>2400</v>
      </c>
      <c r="E13" s="18">
        <v>2400</v>
      </c>
      <c r="F13" s="18">
        <v>2400</v>
      </c>
      <c r="G13" s="18">
        <v>2400</v>
      </c>
      <c r="H13" s="18">
        <v>2400</v>
      </c>
      <c r="I13" s="18">
        <v>2400</v>
      </c>
      <c r="J13" s="18">
        <v>2400</v>
      </c>
      <c r="K13" s="18">
        <v>2400</v>
      </c>
      <c r="L13" s="18">
        <v>2400</v>
      </c>
      <c r="M13" s="18">
        <v>2400</v>
      </c>
      <c r="N13" s="18"/>
      <c r="O13" s="24"/>
      <c r="P13" s="24"/>
      <c r="Q13" s="24"/>
      <c r="R13" s="24"/>
      <c r="S13" s="35" t="s">
        <v>467</v>
      </c>
      <c r="T13" s="18">
        <v>2400</v>
      </c>
      <c r="U13" s="18">
        <v>2400</v>
      </c>
      <c r="V13" s="18">
        <v>2400</v>
      </c>
      <c r="W13" s="18">
        <v>2400</v>
      </c>
      <c r="X13" s="18">
        <v>2400</v>
      </c>
      <c r="Y13" s="18">
        <v>2400</v>
      </c>
      <c r="Z13" s="18">
        <v>2400</v>
      </c>
      <c r="AA13" s="18">
        <v>2400</v>
      </c>
      <c r="AB13" s="18">
        <v>2400</v>
      </c>
      <c r="AC13" s="18">
        <v>2400</v>
      </c>
      <c r="AD13" s="18">
        <v>2400</v>
      </c>
      <c r="AE13" s="18">
        <v>2400</v>
      </c>
      <c r="AF13" s="18"/>
      <c r="AG13" s="24"/>
      <c r="AH13" s="24"/>
      <c r="AI13" s="24"/>
      <c r="AJ13" s="24"/>
      <c r="AK13" s="35" t="s">
        <v>467</v>
      </c>
      <c r="AL13" s="18">
        <v>2400</v>
      </c>
      <c r="AM13" s="18">
        <v>2400</v>
      </c>
      <c r="AN13" s="18">
        <v>2400</v>
      </c>
      <c r="AO13" s="18">
        <v>2400</v>
      </c>
      <c r="AP13" s="18">
        <v>2400</v>
      </c>
      <c r="AQ13" s="18">
        <v>2400</v>
      </c>
      <c r="AR13" s="18">
        <v>2400</v>
      </c>
      <c r="AS13" s="18">
        <v>2400</v>
      </c>
      <c r="AT13" s="18">
        <v>2400</v>
      </c>
      <c r="AU13" s="18">
        <v>2400</v>
      </c>
      <c r="AV13" s="18">
        <v>2400</v>
      </c>
      <c r="AW13" s="18">
        <v>2400</v>
      </c>
      <c r="AX13" s="18"/>
      <c r="AY13" s="24"/>
      <c r="AZ13" s="24"/>
      <c r="BA13" s="24"/>
      <c r="BB13" s="24"/>
    </row>
    <row r="14" spans="1:54">
      <c r="A14" s="35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24"/>
      <c r="P14" s="24"/>
      <c r="Q14" s="24"/>
      <c r="R14" s="24"/>
      <c r="S14" s="35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24"/>
      <c r="AH14" s="24"/>
      <c r="AI14" s="24"/>
      <c r="AJ14" s="24"/>
      <c r="AK14" s="35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24"/>
      <c r="AZ14" s="24"/>
      <c r="BA14" s="24"/>
      <c r="BB14" s="24"/>
    </row>
    <row r="15" spans="1:54">
      <c r="A15" s="37" t="s">
        <v>17</v>
      </c>
      <c r="B15" s="24">
        <v>379</v>
      </c>
      <c r="C15" s="24">
        <v>379</v>
      </c>
      <c r="D15" s="24">
        <v>379</v>
      </c>
      <c r="E15" s="24">
        <v>379</v>
      </c>
      <c r="F15" s="24">
        <v>379</v>
      </c>
      <c r="G15" s="24">
        <v>379</v>
      </c>
      <c r="H15" s="24">
        <v>379</v>
      </c>
      <c r="I15" s="24">
        <v>379</v>
      </c>
      <c r="J15" s="24">
        <v>379</v>
      </c>
      <c r="K15" s="24">
        <v>379</v>
      </c>
      <c r="L15" s="24">
        <v>379</v>
      </c>
      <c r="M15" s="24">
        <v>379</v>
      </c>
      <c r="N15" s="24"/>
      <c r="O15" s="24"/>
      <c r="P15" s="24"/>
      <c r="Q15" s="24"/>
      <c r="R15" s="24"/>
      <c r="S15" s="37" t="s">
        <v>17</v>
      </c>
      <c r="T15" s="24">
        <v>379</v>
      </c>
      <c r="U15" s="24">
        <v>379</v>
      </c>
      <c r="V15" s="24">
        <v>379</v>
      </c>
      <c r="W15" s="24">
        <v>379</v>
      </c>
      <c r="X15" s="24">
        <v>379</v>
      </c>
      <c r="Y15" s="24">
        <v>379</v>
      </c>
      <c r="Z15" s="24">
        <v>379</v>
      </c>
      <c r="AA15" s="24">
        <v>379</v>
      </c>
      <c r="AB15" s="24">
        <v>379</v>
      </c>
      <c r="AC15" s="24">
        <v>379</v>
      </c>
      <c r="AD15" s="24">
        <v>379</v>
      </c>
      <c r="AE15" s="24">
        <v>379</v>
      </c>
      <c r="AF15" s="24"/>
      <c r="AG15" s="24"/>
      <c r="AH15" s="24"/>
      <c r="AI15" s="24"/>
      <c r="AJ15" s="24"/>
      <c r="AK15" s="37" t="s">
        <v>17</v>
      </c>
      <c r="AL15" s="24">
        <v>379</v>
      </c>
      <c r="AM15" s="24">
        <v>379</v>
      </c>
      <c r="AN15" s="24">
        <v>379</v>
      </c>
      <c r="AO15" s="24">
        <v>379</v>
      </c>
      <c r="AP15" s="24">
        <v>379</v>
      </c>
      <c r="AQ15" s="24">
        <v>379</v>
      </c>
      <c r="AR15" s="24">
        <v>379</v>
      </c>
      <c r="AS15" s="24">
        <v>379</v>
      </c>
      <c r="AT15" s="24">
        <v>379</v>
      </c>
      <c r="AU15" s="24">
        <v>379</v>
      </c>
      <c r="AV15" s="24">
        <v>379</v>
      </c>
      <c r="AW15" s="24">
        <v>379</v>
      </c>
      <c r="AX15" s="24"/>
      <c r="AY15" s="24"/>
      <c r="AZ15" s="24"/>
      <c r="BA15" s="24"/>
      <c r="BB15" s="24"/>
    </row>
    <row r="16" spans="1:54">
      <c r="A16" s="37" t="s">
        <v>18</v>
      </c>
      <c r="B16" s="21">
        <f t="shared" ref="B16:M16" si="9">+B17/B15</f>
        <v>14.402316754617413</v>
      </c>
      <c r="C16" s="21">
        <f t="shared" si="9"/>
        <v>14.402316754617413</v>
      </c>
      <c r="D16" s="21">
        <f t="shared" si="9"/>
        <v>13.937721635883905</v>
      </c>
      <c r="E16" s="21">
        <f t="shared" si="9"/>
        <v>14.402316754617413</v>
      </c>
      <c r="F16" s="21">
        <f t="shared" si="9"/>
        <v>13.937721635883905</v>
      </c>
      <c r="G16" s="21">
        <f t="shared" si="9"/>
        <v>14.402316754617413</v>
      </c>
      <c r="H16" s="21">
        <f t="shared" si="9"/>
        <v>14.402316754617413</v>
      </c>
      <c r="I16" s="21">
        <f t="shared" si="9"/>
        <v>13.473139841688653</v>
      </c>
      <c r="J16" s="21">
        <f t="shared" si="9"/>
        <v>14.402321899736149</v>
      </c>
      <c r="K16" s="21">
        <f t="shared" si="9"/>
        <v>13.917941952506595</v>
      </c>
      <c r="L16" s="21">
        <f t="shared" si="9"/>
        <v>14.381873350923481</v>
      </c>
      <c r="M16" s="21">
        <f t="shared" si="9"/>
        <v>13.917941952506595</v>
      </c>
      <c r="N16" s="24"/>
      <c r="O16" s="24"/>
      <c r="P16" s="24"/>
      <c r="Q16" s="24"/>
      <c r="R16" s="24"/>
      <c r="S16" s="37" t="s">
        <v>18</v>
      </c>
      <c r="T16" s="21">
        <f t="shared" ref="T16:AE16" si="10">+T17/T15</f>
        <v>14.511873350923484</v>
      </c>
      <c r="U16" s="21">
        <f t="shared" si="10"/>
        <v>14.511873350923484</v>
      </c>
      <c r="V16" s="21">
        <f t="shared" si="10"/>
        <v>14.511873350923484</v>
      </c>
      <c r="W16" s="21">
        <f t="shared" si="10"/>
        <v>14.511873350923484</v>
      </c>
      <c r="X16" s="21">
        <f t="shared" si="10"/>
        <v>14.511873350923484</v>
      </c>
      <c r="Y16" s="21">
        <f t="shared" si="10"/>
        <v>14.511873350923484</v>
      </c>
      <c r="Z16" s="21">
        <f t="shared" si="10"/>
        <v>14.511873350923484</v>
      </c>
      <c r="AA16" s="21">
        <f t="shared" si="10"/>
        <v>14.511873350923484</v>
      </c>
      <c r="AB16" s="21">
        <f t="shared" si="10"/>
        <v>14.511873350923484</v>
      </c>
      <c r="AC16" s="21">
        <f t="shared" si="10"/>
        <v>14.511873350923484</v>
      </c>
      <c r="AD16" s="21">
        <f t="shared" si="10"/>
        <v>14.511873350923484</v>
      </c>
      <c r="AE16" s="21">
        <f t="shared" si="10"/>
        <v>14.511873350923484</v>
      </c>
      <c r="AF16" s="24"/>
      <c r="AG16" s="24"/>
      <c r="AH16" s="24"/>
      <c r="AI16" s="24"/>
      <c r="AJ16" s="24"/>
      <c r="AK16" s="37" t="s">
        <v>18</v>
      </c>
      <c r="AL16" s="21">
        <f t="shared" ref="AL16:AW16" si="11">+AL17/AL15</f>
        <v>14.511873350923484</v>
      </c>
      <c r="AM16" s="21">
        <f t="shared" si="11"/>
        <v>14.511873350923484</v>
      </c>
      <c r="AN16" s="21">
        <f t="shared" si="11"/>
        <v>14.511873350923484</v>
      </c>
      <c r="AO16" s="21">
        <f t="shared" si="11"/>
        <v>14.511873350923484</v>
      </c>
      <c r="AP16" s="21">
        <f t="shared" si="11"/>
        <v>14.511873350923484</v>
      </c>
      <c r="AQ16" s="21">
        <f t="shared" si="11"/>
        <v>14.511873350923484</v>
      </c>
      <c r="AR16" s="21">
        <f t="shared" si="11"/>
        <v>14.511873350923484</v>
      </c>
      <c r="AS16" s="21">
        <f t="shared" si="11"/>
        <v>14.511873350923484</v>
      </c>
      <c r="AT16" s="21">
        <f t="shared" si="11"/>
        <v>14.511873350923484</v>
      </c>
      <c r="AU16" s="21">
        <f t="shared" si="11"/>
        <v>14.511873350923484</v>
      </c>
      <c r="AV16" s="21">
        <f t="shared" si="11"/>
        <v>14.511873350923484</v>
      </c>
      <c r="AW16" s="21">
        <f t="shared" si="11"/>
        <v>14.511873350923484</v>
      </c>
      <c r="AX16" s="24"/>
      <c r="AY16" s="24"/>
      <c r="AZ16" s="24"/>
      <c r="BA16" s="24"/>
      <c r="BB16" s="24"/>
    </row>
    <row r="17" spans="1:54">
      <c r="A17" s="37" t="s">
        <v>19</v>
      </c>
      <c r="B17" s="411">
        <v>5458.4780499999997</v>
      </c>
      <c r="C17" s="411">
        <v>5458.4780499999997</v>
      </c>
      <c r="D17" s="411">
        <v>5282.3964999999998</v>
      </c>
      <c r="E17" s="411">
        <v>5458.4780499999997</v>
      </c>
      <c r="F17" s="411">
        <v>5282.3964999999998</v>
      </c>
      <c r="G17" s="411">
        <v>5458.4780499999997</v>
      </c>
      <c r="H17" s="411">
        <v>5458.4780499999997</v>
      </c>
      <c r="I17" s="411">
        <v>5106.32</v>
      </c>
      <c r="J17" s="411">
        <v>5458.4800000000005</v>
      </c>
      <c r="K17" s="411">
        <v>5274.9</v>
      </c>
      <c r="L17" s="411">
        <v>5450.73</v>
      </c>
      <c r="M17" s="411">
        <v>5274.9</v>
      </c>
      <c r="N17" s="18">
        <f>SUM(B17:M17)</f>
        <v>64422.513249999996</v>
      </c>
      <c r="O17" s="24"/>
      <c r="P17" s="24"/>
      <c r="Q17" s="24"/>
      <c r="R17" s="24"/>
      <c r="S17" s="37" t="s">
        <v>19</v>
      </c>
      <c r="T17" s="26">
        <v>5500</v>
      </c>
      <c r="U17" s="26">
        <v>5500</v>
      </c>
      <c r="V17" s="26">
        <v>5500</v>
      </c>
      <c r="W17" s="26">
        <v>5500</v>
      </c>
      <c r="X17" s="26">
        <v>5500</v>
      </c>
      <c r="Y17" s="26">
        <v>5500</v>
      </c>
      <c r="Z17" s="26">
        <v>5500</v>
      </c>
      <c r="AA17" s="26">
        <v>5500</v>
      </c>
      <c r="AB17" s="26">
        <v>5500</v>
      </c>
      <c r="AC17" s="26">
        <v>5500</v>
      </c>
      <c r="AD17" s="26">
        <v>5500</v>
      </c>
      <c r="AE17" s="26">
        <v>5500</v>
      </c>
      <c r="AF17" s="18">
        <f>SUM(T17:AE17)</f>
        <v>66000</v>
      </c>
      <c r="AG17" s="24"/>
      <c r="AH17" s="24"/>
      <c r="AI17" s="24"/>
      <c r="AJ17" s="24"/>
      <c r="AK17" s="37" t="s">
        <v>19</v>
      </c>
      <c r="AL17" s="26">
        <v>5500</v>
      </c>
      <c r="AM17" s="26">
        <v>5500</v>
      </c>
      <c r="AN17" s="26">
        <v>5500</v>
      </c>
      <c r="AO17" s="26">
        <v>5500</v>
      </c>
      <c r="AP17" s="26">
        <v>5500</v>
      </c>
      <c r="AQ17" s="26">
        <v>5500</v>
      </c>
      <c r="AR17" s="26">
        <v>5500</v>
      </c>
      <c r="AS17" s="26">
        <v>5500</v>
      </c>
      <c r="AT17" s="26">
        <v>5500</v>
      </c>
      <c r="AU17" s="26">
        <v>5500</v>
      </c>
      <c r="AV17" s="26">
        <v>5500</v>
      </c>
      <c r="AW17" s="26">
        <v>5500</v>
      </c>
      <c r="AX17" s="18">
        <f>SUM(AL17:AW17)</f>
        <v>66000</v>
      </c>
      <c r="AY17" s="24"/>
      <c r="AZ17" s="24"/>
      <c r="BA17" s="24"/>
      <c r="BB17" s="24"/>
    </row>
    <row r="18" spans="1:54">
      <c r="A18" s="3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24"/>
      <c r="P18" s="24"/>
      <c r="Q18" s="24"/>
      <c r="R18" s="24"/>
      <c r="S18" s="3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24"/>
      <c r="AH18" s="24"/>
      <c r="AI18" s="24"/>
      <c r="AJ18" s="24"/>
      <c r="AK18" s="3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24"/>
      <c r="AZ18" s="24"/>
      <c r="BA18" s="24"/>
      <c r="BB18" s="24"/>
    </row>
    <row r="19" spans="1:54">
      <c r="A19" s="35" t="s">
        <v>2</v>
      </c>
      <c r="B19" s="28">
        <f>36000+35000</f>
        <v>71000</v>
      </c>
      <c r="C19" s="28">
        <f>36000+35000</f>
        <v>71000</v>
      </c>
      <c r="D19" s="28">
        <f>36000+35000</f>
        <v>71000</v>
      </c>
      <c r="E19" s="28">
        <f>36000+35000</f>
        <v>71000</v>
      </c>
      <c r="F19" s="28">
        <f>36000+35000</f>
        <v>71000</v>
      </c>
      <c r="G19" s="28">
        <v>71000</v>
      </c>
      <c r="H19" s="28">
        <v>71000</v>
      </c>
      <c r="I19" s="28">
        <v>71000</v>
      </c>
      <c r="J19" s="28">
        <v>71000</v>
      </c>
      <c r="K19" s="28">
        <v>71000</v>
      </c>
      <c r="L19" s="28">
        <v>71000</v>
      </c>
      <c r="M19" s="28">
        <v>71000</v>
      </c>
      <c r="N19" s="24"/>
      <c r="O19" s="24"/>
      <c r="P19" s="24"/>
      <c r="Q19" s="24"/>
      <c r="R19" s="24"/>
      <c r="S19" s="35" t="s">
        <v>2</v>
      </c>
      <c r="T19" s="28">
        <f>36000+35000</f>
        <v>71000</v>
      </c>
      <c r="U19" s="28">
        <f>36000+35000</f>
        <v>71000</v>
      </c>
      <c r="V19" s="28">
        <f>36000+35000</f>
        <v>71000</v>
      </c>
      <c r="W19" s="28">
        <f>36000+35000</f>
        <v>71000</v>
      </c>
      <c r="X19" s="28">
        <f>36000+35000</f>
        <v>71000</v>
      </c>
      <c r="Y19" s="28">
        <v>71000</v>
      </c>
      <c r="Z19" s="28">
        <v>71000</v>
      </c>
      <c r="AA19" s="28">
        <v>71000</v>
      </c>
      <c r="AB19" s="28">
        <v>71000</v>
      </c>
      <c r="AC19" s="28">
        <v>71000</v>
      </c>
      <c r="AD19" s="28">
        <v>71000</v>
      </c>
      <c r="AE19" s="28">
        <v>71000</v>
      </c>
      <c r="AF19" s="24"/>
      <c r="AG19" s="24"/>
      <c r="AH19" s="24"/>
      <c r="AI19" s="24"/>
      <c r="AJ19" s="24"/>
      <c r="AK19" s="35" t="s">
        <v>2</v>
      </c>
      <c r="AL19" s="28">
        <f>36000+35000</f>
        <v>71000</v>
      </c>
      <c r="AM19" s="28">
        <f>36000+35000</f>
        <v>71000</v>
      </c>
      <c r="AN19" s="28">
        <f>36000+35000</f>
        <v>71000</v>
      </c>
      <c r="AO19" s="28">
        <f>36000+35000</f>
        <v>71000</v>
      </c>
      <c r="AP19" s="28">
        <f>36000+35000</f>
        <v>71000</v>
      </c>
      <c r="AQ19" s="28">
        <v>71000</v>
      </c>
      <c r="AR19" s="28">
        <v>71000</v>
      </c>
      <c r="AS19" s="28">
        <v>71000</v>
      </c>
      <c r="AT19" s="28">
        <v>71000</v>
      </c>
      <c r="AU19" s="28">
        <v>71000</v>
      </c>
      <c r="AV19" s="28">
        <v>71000</v>
      </c>
      <c r="AW19" s="28">
        <v>71000</v>
      </c>
      <c r="AX19" s="24"/>
      <c r="AY19" s="24"/>
      <c r="AZ19" s="24"/>
      <c r="BA19" s="24"/>
      <c r="BB19" s="24"/>
    </row>
    <row r="20" spans="1:54">
      <c r="A20" s="35" t="s">
        <v>3</v>
      </c>
      <c r="B20" s="395">
        <v>0.72299999999999998</v>
      </c>
      <c r="C20" s="395">
        <v>0.72</v>
      </c>
      <c r="D20" s="395">
        <v>0.71699999999999997</v>
      </c>
      <c r="E20" s="395">
        <v>0.71399999999999997</v>
      </c>
      <c r="F20" s="395">
        <v>0.71099999999999997</v>
      </c>
      <c r="G20" s="395">
        <v>0.70799999999999996</v>
      </c>
      <c r="H20" s="395">
        <v>0.68400000000000005</v>
      </c>
      <c r="I20" s="395">
        <v>0.68100000000000005</v>
      </c>
      <c r="J20" s="395">
        <v>0.67900000000000005</v>
      </c>
      <c r="K20" s="395">
        <v>0.67700000000000005</v>
      </c>
      <c r="L20" s="395">
        <v>0.67500000000000004</v>
      </c>
      <c r="M20" s="395">
        <v>0.67300000000000004</v>
      </c>
      <c r="N20" s="24"/>
      <c r="O20" s="24"/>
      <c r="P20" s="24"/>
      <c r="Q20" s="24"/>
      <c r="R20" s="24"/>
      <c r="S20" s="35" t="s">
        <v>3</v>
      </c>
      <c r="T20" s="228">
        <v>0.75</v>
      </c>
      <c r="U20" s="228">
        <v>0.75</v>
      </c>
      <c r="V20" s="228">
        <v>0.75</v>
      </c>
      <c r="W20" s="228">
        <v>0.75</v>
      </c>
      <c r="X20" s="228">
        <v>0.75</v>
      </c>
      <c r="Y20" s="228">
        <v>0.75</v>
      </c>
      <c r="Z20" s="228">
        <v>0.75</v>
      </c>
      <c r="AA20" s="228">
        <v>0.75</v>
      </c>
      <c r="AB20" s="228">
        <v>0.75</v>
      </c>
      <c r="AC20" s="228">
        <v>0.75</v>
      </c>
      <c r="AD20" s="228">
        <v>0.75</v>
      </c>
      <c r="AE20" s="228">
        <v>0.75</v>
      </c>
      <c r="AF20" s="24"/>
      <c r="AG20" s="24"/>
      <c r="AH20" s="24"/>
      <c r="AI20" s="24"/>
      <c r="AJ20" s="24"/>
      <c r="AK20" s="35" t="s">
        <v>3</v>
      </c>
      <c r="AL20" s="228">
        <v>0.75</v>
      </c>
      <c r="AM20" s="228">
        <v>0.75</v>
      </c>
      <c r="AN20" s="228">
        <v>0.75</v>
      </c>
      <c r="AO20" s="228">
        <v>0.75</v>
      </c>
      <c r="AP20" s="228">
        <v>0.75</v>
      </c>
      <c r="AQ20" s="228">
        <v>0.75</v>
      </c>
      <c r="AR20" s="228">
        <v>0.75</v>
      </c>
      <c r="AS20" s="228">
        <v>0.75</v>
      </c>
      <c r="AT20" s="228">
        <v>0.75</v>
      </c>
      <c r="AU20" s="228">
        <v>0.75</v>
      </c>
      <c r="AV20" s="228">
        <v>0.75</v>
      </c>
      <c r="AW20" s="228">
        <v>0.75</v>
      </c>
      <c r="AX20" s="24"/>
      <c r="AY20" s="24"/>
      <c r="AZ20" s="24"/>
      <c r="BA20" s="24"/>
      <c r="BB20" s="24"/>
    </row>
    <row r="21" spans="1:54">
      <c r="A21" s="35" t="s">
        <v>4</v>
      </c>
      <c r="B21" s="66">
        <f t="shared" ref="B21:M21" si="12">B19*B20</f>
        <v>51333</v>
      </c>
      <c r="C21" s="66">
        <f t="shared" si="12"/>
        <v>51120</v>
      </c>
      <c r="D21" s="66">
        <f t="shared" si="12"/>
        <v>50907</v>
      </c>
      <c r="E21" s="66">
        <f t="shared" si="12"/>
        <v>50694</v>
      </c>
      <c r="F21" s="66">
        <f t="shared" si="12"/>
        <v>50481</v>
      </c>
      <c r="G21" s="66">
        <f t="shared" si="12"/>
        <v>50268</v>
      </c>
      <c r="H21" s="66">
        <f t="shared" si="12"/>
        <v>48564.000000000007</v>
      </c>
      <c r="I21" s="66">
        <f t="shared" si="12"/>
        <v>48351</v>
      </c>
      <c r="J21" s="66">
        <f t="shared" si="12"/>
        <v>48209</v>
      </c>
      <c r="K21" s="66">
        <f t="shared" si="12"/>
        <v>48067</v>
      </c>
      <c r="L21" s="66">
        <f t="shared" si="12"/>
        <v>47925</v>
      </c>
      <c r="M21" s="66">
        <f t="shared" si="12"/>
        <v>47783</v>
      </c>
      <c r="N21" s="18">
        <f>SUM(B21:M21)</f>
        <v>593702</v>
      </c>
      <c r="O21" s="24"/>
      <c r="P21" s="24"/>
      <c r="Q21" s="24"/>
      <c r="R21" s="24"/>
      <c r="S21" s="35" t="s">
        <v>4</v>
      </c>
      <c r="T21" s="66">
        <f t="shared" ref="T21:AE21" si="13">T19*T20</f>
        <v>53250</v>
      </c>
      <c r="U21" s="66">
        <f t="shared" si="13"/>
        <v>53250</v>
      </c>
      <c r="V21" s="66">
        <f t="shared" si="13"/>
        <v>53250</v>
      </c>
      <c r="W21" s="66">
        <f t="shared" si="13"/>
        <v>53250</v>
      </c>
      <c r="X21" s="66">
        <f t="shared" si="13"/>
        <v>53250</v>
      </c>
      <c r="Y21" s="66">
        <f t="shared" si="13"/>
        <v>53250</v>
      </c>
      <c r="Z21" s="66">
        <f t="shared" si="13"/>
        <v>53250</v>
      </c>
      <c r="AA21" s="66">
        <f t="shared" si="13"/>
        <v>53250</v>
      </c>
      <c r="AB21" s="66">
        <f t="shared" si="13"/>
        <v>53250</v>
      </c>
      <c r="AC21" s="66">
        <f t="shared" si="13"/>
        <v>53250</v>
      </c>
      <c r="AD21" s="66">
        <f t="shared" si="13"/>
        <v>53250</v>
      </c>
      <c r="AE21" s="66">
        <f t="shared" si="13"/>
        <v>53250</v>
      </c>
      <c r="AF21" s="18">
        <f>SUM(T21:AE21)</f>
        <v>639000</v>
      </c>
      <c r="AG21" s="24"/>
      <c r="AH21" s="24"/>
      <c r="AI21" s="24"/>
      <c r="AJ21" s="24"/>
      <c r="AK21" s="35" t="s">
        <v>4</v>
      </c>
      <c r="AL21" s="66">
        <f t="shared" ref="AL21:AW21" si="14">AL19*AL20</f>
        <v>53250</v>
      </c>
      <c r="AM21" s="66">
        <f t="shared" si="14"/>
        <v>53250</v>
      </c>
      <c r="AN21" s="66">
        <f t="shared" si="14"/>
        <v>53250</v>
      </c>
      <c r="AO21" s="66">
        <f t="shared" si="14"/>
        <v>53250</v>
      </c>
      <c r="AP21" s="66">
        <f t="shared" si="14"/>
        <v>53250</v>
      </c>
      <c r="AQ21" s="66">
        <f t="shared" si="14"/>
        <v>53250</v>
      </c>
      <c r="AR21" s="66">
        <f t="shared" si="14"/>
        <v>53250</v>
      </c>
      <c r="AS21" s="66">
        <f t="shared" si="14"/>
        <v>53250</v>
      </c>
      <c r="AT21" s="66">
        <f t="shared" si="14"/>
        <v>53250</v>
      </c>
      <c r="AU21" s="66">
        <f t="shared" si="14"/>
        <v>53250</v>
      </c>
      <c r="AV21" s="66">
        <f t="shared" si="14"/>
        <v>53250</v>
      </c>
      <c r="AW21" s="66">
        <f t="shared" si="14"/>
        <v>53250</v>
      </c>
      <c r="AX21" s="18">
        <f>SUM(AL21:AW21)</f>
        <v>639000</v>
      </c>
      <c r="AY21" s="24"/>
      <c r="AZ21" s="24"/>
      <c r="BA21" s="24"/>
      <c r="BB21" s="24"/>
    </row>
    <row r="22" spans="1:54" s="229" customFormat="1">
      <c r="A22" s="229" t="s">
        <v>5</v>
      </c>
      <c r="B22" s="393">
        <v>10996.769472</v>
      </c>
      <c r="C22" s="393">
        <v>6740.2603319999998</v>
      </c>
      <c r="D22" s="393">
        <v>11973.857688</v>
      </c>
      <c r="E22" s="393">
        <v>21035.453738</v>
      </c>
      <c r="F22" s="393">
        <v>4536.553410999999</v>
      </c>
      <c r="G22" s="393">
        <v>20186.727469999998</v>
      </c>
      <c r="H22" s="393">
        <v>17517.917339</v>
      </c>
      <c r="I22" s="393">
        <v>10817.2</v>
      </c>
      <c r="J22" s="393">
        <v>19291.870000000003</v>
      </c>
      <c r="K22" s="393">
        <v>16831.8</v>
      </c>
      <c r="L22" s="393">
        <v>6721.01</v>
      </c>
      <c r="M22" s="393">
        <v>9547.57</v>
      </c>
      <c r="N22" s="116">
        <f>SUM(B22:M22)</f>
        <v>156196.98945000002</v>
      </c>
      <c r="O22" s="28"/>
      <c r="P22" s="28"/>
      <c r="Q22" s="28"/>
      <c r="R22" s="28"/>
      <c r="S22" s="229" t="s">
        <v>5</v>
      </c>
      <c r="T22" s="39">
        <v>20000</v>
      </c>
      <c r="U22" s="39">
        <v>20000</v>
      </c>
      <c r="V22" s="39">
        <v>20000</v>
      </c>
      <c r="W22" s="39">
        <v>20000</v>
      </c>
      <c r="X22" s="39">
        <v>20000</v>
      </c>
      <c r="Y22" s="39">
        <v>20000</v>
      </c>
      <c r="Z22" s="39">
        <v>20000</v>
      </c>
      <c r="AA22" s="39">
        <v>20000</v>
      </c>
      <c r="AB22" s="39">
        <v>20000</v>
      </c>
      <c r="AC22" s="39">
        <v>20000</v>
      </c>
      <c r="AD22" s="39">
        <v>20000</v>
      </c>
      <c r="AE22" s="39">
        <v>20000</v>
      </c>
      <c r="AF22" s="116">
        <f>SUM(T22:AE22)</f>
        <v>240000</v>
      </c>
      <c r="AG22" s="28"/>
      <c r="AH22" s="28"/>
      <c r="AI22" s="28"/>
      <c r="AJ22" s="28"/>
      <c r="AK22" s="229" t="s">
        <v>5</v>
      </c>
      <c r="AL22" s="39">
        <v>20000</v>
      </c>
      <c r="AM22" s="39">
        <v>20000</v>
      </c>
      <c r="AN22" s="39">
        <v>20000</v>
      </c>
      <c r="AO22" s="39">
        <v>20000</v>
      </c>
      <c r="AP22" s="39">
        <v>20000</v>
      </c>
      <c r="AQ22" s="39">
        <v>20000</v>
      </c>
      <c r="AR22" s="39">
        <v>20000</v>
      </c>
      <c r="AS22" s="39">
        <v>20000</v>
      </c>
      <c r="AT22" s="39">
        <v>20000</v>
      </c>
      <c r="AU22" s="39">
        <v>20000</v>
      </c>
      <c r="AV22" s="39">
        <v>20000</v>
      </c>
      <c r="AW22" s="39">
        <v>20000</v>
      </c>
      <c r="AX22" s="116">
        <f>SUM(AL22:AW22)</f>
        <v>240000</v>
      </c>
      <c r="AY22" s="28"/>
      <c r="AZ22" s="28"/>
      <c r="BA22" s="28"/>
      <c r="BB22" s="28"/>
    </row>
    <row r="23" spans="1:54" s="229" customFormat="1">
      <c r="A23" s="229" t="s">
        <v>314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116"/>
      <c r="O23" s="28"/>
      <c r="P23" s="28"/>
      <c r="Q23" s="28"/>
      <c r="R23" s="28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116"/>
      <c r="AG23" s="28"/>
      <c r="AH23" s="28"/>
      <c r="AI23" s="28"/>
      <c r="AJ23" s="28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116"/>
      <c r="AY23" s="28"/>
      <c r="AZ23" s="28"/>
      <c r="BA23" s="28"/>
      <c r="BB23" s="28"/>
    </row>
    <row r="24" spans="1:54">
      <c r="A24" s="37" t="s">
        <v>6</v>
      </c>
      <c r="B24" s="26">
        <f t="shared" ref="B24:M24" si="15">(B19*B20)+B22</f>
        <v>62329.769472</v>
      </c>
      <c r="C24" s="26">
        <f t="shared" si="15"/>
        <v>57860.260331999998</v>
      </c>
      <c r="D24" s="26">
        <f t="shared" si="15"/>
        <v>62880.857688000004</v>
      </c>
      <c r="E24" s="26">
        <f t="shared" si="15"/>
        <v>71729.453737999997</v>
      </c>
      <c r="F24" s="26">
        <f t="shared" si="15"/>
        <v>55017.553411000001</v>
      </c>
      <c r="G24" s="26">
        <f t="shared" si="15"/>
        <v>70454.727469999998</v>
      </c>
      <c r="H24" s="26">
        <f t="shared" si="15"/>
        <v>66081.917339000007</v>
      </c>
      <c r="I24" s="26">
        <f t="shared" si="15"/>
        <v>59168.2</v>
      </c>
      <c r="J24" s="26">
        <f t="shared" si="15"/>
        <v>67500.87</v>
      </c>
      <c r="K24" s="26">
        <f t="shared" si="15"/>
        <v>64898.8</v>
      </c>
      <c r="L24" s="26">
        <f t="shared" si="15"/>
        <v>54646.01</v>
      </c>
      <c r="M24" s="26">
        <f t="shared" si="15"/>
        <v>57330.57</v>
      </c>
      <c r="N24" s="18">
        <f>SUM(B24:M24)</f>
        <v>749898.98945000011</v>
      </c>
      <c r="O24" s="24"/>
      <c r="P24" s="24"/>
      <c r="Q24" s="24"/>
      <c r="R24" s="24"/>
      <c r="S24" s="37" t="s">
        <v>6</v>
      </c>
      <c r="T24" s="26">
        <f t="shared" ref="T24:AE24" si="16">(T19*T20)+T22</f>
        <v>73250</v>
      </c>
      <c r="U24" s="26">
        <f t="shared" si="16"/>
        <v>73250</v>
      </c>
      <c r="V24" s="26">
        <f t="shared" si="16"/>
        <v>73250</v>
      </c>
      <c r="W24" s="26">
        <f t="shared" si="16"/>
        <v>73250</v>
      </c>
      <c r="X24" s="26">
        <f t="shared" si="16"/>
        <v>73250</v>
      </c>
      <c r="Y24" s="26">
        <f t="shared" si="16"/>
        <v>73250</v>
      </c>
      <c r="Z24" s="26">
        <f t="shared" si="16"/>
        <v>73250</v>
      </c>
      <c r="AA24" s="26">
        <f t="shared" si="16"/>
        <v>73250</v>
      </c>
      <c r="AB24" s="26">
        <f t="shared" si="16"/>
        <v>73250</v>
      </c>
      <c r="AC24" s="26">
        <f t="shared" si="16"/>
        <v>73250</v>
      </c>
      <c r="AD24" s="26">
        <f t="shared" si="16"/>
        <v>73250</v>
      </c>
      <c r="AE24" s="26">
        <f t="shared" si="16"/>
        <v>73250</v>
      </c>
      <c r="AF24" s="18">
        <f>SUM(T24:AE24)</f>
        <v>879000</v>
      </c>
      <c r="AG24" s="24"/>
      <c r="AH24" s="24"/>
      <c r="AI24" s="24"/>
      <c r="AJ24" s="24"/>
      <c r="AK24" s="37" t="s">
        <v>6</v>
      </c>
      <c r="AL24" s="26">
        <f t="shared" ref="AL24:AW24" si="17">(AL19*AL20)+AL22</f>
        <v>73250</v>
      </c>
      <c r="AM24" s="26">
        <f t="shared" si="17"/>
        <v>73250</v>
      </c>
      <c r="AN24" s="26">
        <f t="shared" si="17"/>
        <v>73250</v>
      </c>
      <c r="AO24" s="26">
        <f t="shared" si="17"/>
        <v>73250</v>
      </c>
      <c r="AP24" s="26">
        <f t="shared" si="17"/>
        <v>73250</v>
      </c>
      <c r="AQ24" s="26">
        <f t="shared" si="17"/>
        <v>73250</v>
      </c>
      <c r="AR24" s="26">
        <f t="shared" si="17"/>
        <v>73250</v>
      </c>
      <c r="AS24" s="26">
        <f t="shared" si="17"/>
        <v>73250</v>
      </c>
      <c r="AT24" s="26">
        <f t="shared" si="17"/>
        <v>73250</v>
      </c>
      <c r="AU24" s="26">
        <f t="shared" si="17"/>
        <v>73250</v>
      </c>
      <c r="AV24" s="26">
        <f t="shared" si="17"/>
        <v>73250</v>
      </c>
      <c r="AW24" s="26">
        <f t="shared" si="17"/>
        <v>73250</v>
      </c>
      <c r="AX24" s="18">
        <f>SUM(AL24:AW24)</f>
        <v>879000</v>
      </c>
      <c r="AY24" s="24"/>
      <c r="AZ24" s="24"/>
      <c r="BA24" s="24"/>
      <c r="BB24" s="24"/>
    </row>
    <row r="25" spans="1:54"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18"/>
      <c r="O25" s="24"/>
      <c r="P25" s="24"/>
      <c r="Q25" s="24"/>
      <c r="R25" s="24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18"/>
      <c r="AG25" s="24"/>
      <c r="AH25" s="24"/>
      <c r="AI25" s="24"/>
      <c r="AJ25" s="24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18"/>
      <c r="AY25" s="24"/>
      <c r="AZ25" s="24"/>
      <c r="BA25" s="24"/>
      <c r="BB25" s="24"/>
    </row>
    <row r="26" spans="1:54">
      <c r="A26" s="338" t="s">
        <v>186</v>
      </c>
      <c r="B26" s="26">
        <f>SUM(,B7,B11,B13,B17,B24)</f>
        <v>389595.85252199997</v>
      </c>
      <c r="C26" s="26">
        <f t="shared" ref="C26:M26" si="18">SUM(,C7,C11,C13,C17,C24)</f>
        <v>385126.34338199993</v>
      </c>
      <c r="D26" s="26">
        <f t="shared" si="18"/>
        <v>389970.85918799997</v>
      </c>
      <c r="E26" s="26">
        <f t="shared" si="18"/>
        <v>398995.53678799997</v>
      </c>
      <c r="F26" s="26">
        <f t="shared" si="18"/>
        <v>381967.365911</v>
      </c>
      <c r="G26" s="26">
        <f t="shared" si="18"/>
        <v>397580.62151999999</v>
      </c>
      <c r="H26" s="26">
        <f t="shared" si="18"/>
        <v>393207.81138900004</v>
      </c>
      <c r="I26" s="26">
        <f t="shared" si="18"/>
        <v>385941.93600000005</v>
      </c>
      <c r="J26" s="26">
        <f t="shared" si="18"/>
        <v>394626.766</v>
      </c>
      <c r="K26" s="26">
        <f t="shared" si="18"/>
        <v>391841.11600000004</v>
      </c>
      <c r="L26" s="26">
        <f t="shared" si="18"/>
        <v>381764.15600000002</v>
      </c>
      <c r="M26" s="26">
        <f t="shared" si="18"/>
        <v>384272.88600000006</v>
      </c>
      <c r="N26" s="18">
        <f>SUM(B26:M26)</f>
        <v>4674891.2506999997</v>
      </c>
      <c r="O26" s="39">
        <f>N26/12</f>
        <v>389574.27089166665</v>
      </c>
      <c r="P26" s="28">
        <f>15054+25000</f>
        <v>40054</v>
      </c>
      <c r="Q26" s="195">
        <f>O26/P26</f>
        <v>9.7262263666966255</v>
      </c>
      <c r="R26" s="195">
        <f>(Q26*1.04)/(1-0.025)</f>
        <v>10.374641457809734</v>
      </c>
      <c r="S26" s="338" t="s">
        <v>186</v>
      </c>
      <c r="T26" s="26">
        <f>SUM(,T7,T11,T13,T17,T24)</f>
        <v>402884.9</v>
      </c>
      <c r="U26" s="26">
        <f t="shared" ref="U26:AE26" si="19">SUM(,U7,U11,U13,U17,U24)</f>
        <v>402884.9</v>
      </c>
      <c r="V26" s="26">
        <f t="shared" si="19"/>
        <v>402884.9</v>
      </c>
      <c r="W26" s="26">
        <f t="shared" si="19"/>
        <v>402884.9</v>
      </c>
      <c r="X26" s="26">
        <f t="shared" si="19"/>
        <v>402884.9</v>
      </c>
      <c r="Y26" s="26">
        <f t="shared" si="19"/>
        <v>402884.9</v>
      </c>
      <c r="Z26" s="26">
        <f t="shared" si="19"/>
        <v>402884.9</v>
      </c>
      <c r="AA26" s="26">
        <f t="shared" si="19"/>
        <v>402884.9</v>
      </c>
      <c r="AB26" s="26">
        <f t="shared" si="19"/>
        <v>402884.9</v>
      </c>
      <c r="AC26" s="26">
        <f t="shared" si="19"/>
        <v>402884.9</v>
      </c>
      <c r="AD26" s="26">
        <f t="shared" si="19"/>
        <v>402884.9</v>
      </c>
      <c r="AE26" s="26">
        <f t="shared" si="19"/>
        <v>402884.9</v>
      </c>
      <c r="AF26" s="18">
        <f>SUM(T26:AE26)</f>
        <v>4834618.8</v>
      </c>
      <c r="AG26" s="39">
        <f>AF26/12</f>
        <v>402884.89999999997</v>
      </c>
      <c r="AH26" s="28">
        <f>15054+25000</f>
        <v>40054</v>
      </c>
      <c r="AI26" s="17">
        <f>AG26/AH26</f>
        <v>10.058543466320467</v>
      </c>
      <c r="AJ26" s="195">
        <f>(AI26*1.04)/(1-0.025)</f>
        <v>10.729113030741832</v>
      </c>
      <c r="AK26" s="338" t="s">
        <v>186</v>
      </c>
      <c r="AL26" s="26">
        <f>SUM(,AL7,AL11,AL13,AL17,AL24)</f>
        <v>402884.9</v>
      </c>
      <c r="AM26" s="26">
        <f t="shared" ref="AM26:AW26" si="20">SUM(,AM7,AM11,AM13,AM17,AM24)</f>
        <v>402884.9</v>
      </c>
      <c r="AN26" s="26">
        <f t="shared" si="20"/>
        <v>402884.9</v>
      </c>
      <c r="AO26" s="26">
        <f t="shared" si="20"/>
        <v>402884.9</v>
      </c>
      <c r="AP26" s="26">
        <f t="shared" si="20"/>
        <v>402884.9</v>
      </c>
      <c r="AQ26" s="26">
        <f t="shared" si="20"/>
        <v>402884.9</v>
      </c>
      <c r="AR26" s="26">
        <f t="shared" si="20"/>
        <v>402884.9</v>
      </c>
      <c r="AS26" s="26">
        <f t="shared" si="20"/>
        <v>402884.9</v>
      </c>
      <c r="AT26" s="26">
        <f t="shared" si="20"/>
        <v>402884.9</v>
      </c>
      <c r="AU26" s="26">
        <f t="shared" si="20"/>
        <v>402884.9</v>
      </c>
      <c r="AV26" s="26">
        <f t="shared" si="20"/>
        <v>402884.9</v>
      </c>
      <c r="AW26" s="26">
        <f t="shared" si="20"/>
        <v>402884.9</v>
      </c>
      <c r="AX26" s="18">
        <f>SUM(AL26:AW26)</f>
        <v>4834618.8</v>
      </c>
      <c r="AY26" s="39">
        <f>AX26/12</f>
        <v>402884.89999999997</v>
      </c>
      <c r="AZ26" s="28">
        <f>15054+25000</f>
        <v>40054</v>
      </c>
      <c r="BA26" s="17">
        <f>AY26/AZ26</f>
        <v>10.058543466320467</v>
      </c>
      <c r="BB26" s="195">
        <f>(BA26*1.04)/(1-0.025)</f>
        <v>10.729113030741832</v>
      </c>
    </row>
    <row r="27" spans="1:54"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18"/>
      <c r="O27" s="24"/>
      <c r="P27" s="24"/>
      <c r="Q27" s="24"/>
      <c r="R27" s="24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18"/>
      <c r="AG27" s="24"/>
      <c r="AH27" s="24"/>
      <c r="AI27" s="24"/>
      <c r="AJ27" s="24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18"/>
      <c r="AY27" s="24"/>
      <c r="AZ27" s="24"/>
      <c r="BA27" s="24"/>
      <c r="BB27" s="24"/>
    </row>
    <row r="28" spans="1:54">
      <c r="A28" s="35" t="s">
        <v>7</v>
      </c>
      <c r="B28" s="36">
        <v>52086</v>
      </c>
      <c r="C28" s="36">
        <v>52086</v>
      </c>
      <c r="D28" s="36">
        <v>52086</v>
      </c>
      <c r="E28" s="36">
        <v>52086</v>
      </c>
      <c r="F28" s="36">
        <v>52086</v>
      </c>
      <c r="G28" s="36">
        <v>52086</v>
      </c>
      <c r="H28" s="36">
        <v>52086</v>
      </c>
      <c r="I28" s="36">
        <v>52086</v>
      </c>
      <c r="J28" s="36">
        <v>52086</v>
      </c>
      <c r="K28" s="36">
        <v>52086</v>
      </c>
      <c r="L28" s="36">
        <v>52086</v>
      </c>
      <c r="M28" s="36">
        <v>52086</v>
      </c>
      <c r="N28" s="15"/>
      <c r="O28" s="24"/>
      <c r="P28" s="24"/>
      <c r="Q28" s="24"/>
      <c r="R28" s="24"/>
      <c r="S28" s="35" t="s">
        <v>7</v>
      </c>
      <c r="T28" s="36">
        <v>52086</v>
      </c>
      <c r="U28" s="36">
        <v>52086</v>
      </c>
      <c r="V28" s="36">
        <v>52086</v>
      </c>
      <c r="W28" s="36">
        <v>52086</v>
      </c>
      <c r="X28" s="36">
        <v>52086</v>
      </c>
      <c r="Y28" s="36">
        <v>52086</v>
      </c>
      <c r="Z28" s="36">
        <v>52086</v>
      </c>
      <c r="AA28" s="36">
        <v>52086</v>
      </c>
      <c r="AB28" s="36">
        <v>52086</v>
      </c>
      <c r="AC28" s="36">
        <v>52086</v>
      </c>
      <c r="AD28" s="36">
        <v>52086</v>
      </c>
      <c r="AE28" s="36">
        <v>52086</v>
      </c>
      <c r="AF28" s="15"/>
      <c r="AG28" s="24"/>
      <c r="AH28" s="24"/>
      <c r="AI28" s="24"/>
      <c r="AJ28" s="24"/>
      <c r="AK28" s="35" t="s">
        <v>7</v>
      </c>
      <c r="AL28" s="36">
        <v>52086</v>
      </c>
      <c r="AM28" s="36">
        <v>52086</v>
      </c>
      <c r="AN28" s="36">
        <v>52086</v>
      </c>
      <c r="AO28" s="36">
        <v>52086</v>
      </c>
      <c r="AP28" s="36">
        <v>52086</v>
      </c>
      <c r="AQ28" s="36">
        <v>52086</v>
      </c>
      <c r="AR28" s="36">
        <v>52086</v>
      </c>
      <c r="AS28" s="36">
        <v>52086</v>
      </c>
      <c r="AT28" s="36">
        <v>52086</v>
      </c>
      <c r="AU28" s="36">
        <v>52086</v>
      </c>
      <c r="AV28" s="36">
        <v>52086</v>
      </c>
      <c r="AW28" s="36">
        <v>52086</v>
      </c>
      <c r="AX28" s="15"/>
      <c r="AY28" s="24"/>
      <c r="AZ28" s="24"/>
      <c r="BA28" s="24"/>
      <c r="BB28" s="24"/>
    </row>
    <row r="29" spans="1:54">
      <c r="A29" s="35" t="s">
        <v>8</v>
      </c>
      <c r="B29" s="414">
        <v>5.4919000000000002</v>
      </c>
      <c r="C29" s="414">
        <v>5.4919000000000002</v>
      </c>
      <c r="D29" s="414">
        <v>5.4919000000000002</v>
      </c>
      <c r="E29" s="414">
        <v>5.4919000000000002</v>
      </c>
      <c r="F29" s="414">
        <v>4.2916999999999996</v>
      </c>
      <c r="G29" s="414">
        <v>4.2916999999999996</v>
      </c>
      <c r="H29" s="414">
        <v>4.2916999999999996</v>
      </c>
      <c r="I29" s="414">
        <v>4.2916999999999996</v>
      </c>
      <c r="J29" s="414">
        <v>4.2916999999999996</v>
      </c>
      <c r="K29" s="414">
        <v>4.2916999999999996</v>
      </c>
      <c r="L29" s="414">
        <v>4.2916999999999996</v>
      </c>
      <c r="M29" s="414">
        <v>4.2916999999999996</v>
      </c>
      <c r="N29" s="15"/>
      <c r="O29" s="24"/>
      <c r="P29" s="24"/>
      <c r="Q29" s="24"/>
      <c r="R29" s="24"/>
      <c r="S29" s="35" t="s">
        <v>8</v>
      </c>
      <c r="T29" s="23">
        <v>4.2916999999999996</v>
      </c>
      <c r="U29" s="23">
        <v>4.2916999999999996</v>
      </c>
      <c r="V29" s="23">
        <v>4.2916999999999996</v>
      </c>
      <c r="W29" s="23">
        <v>4.2916999999999996</v>
      </c>
      <c r="X29" s="23">
        <v>4.2916999999999996</v>
      </c>
      <c r="Y29" s="23">
        <v>4.2916999999999996</v>
      </c>
      <c r="Z29" s="23">
        <v>4.2916999999999996</v>
      </c>
      <c r="AA29" s="23">
        <v>4.2916999999999996</v>
      </c>
      <c r="AB29" s="23">
        <v>4.2916999999999996</v>
      </c>
      <c r="AC29" s="23">
        <v>4.2916999999999996</v>
      </c>
      <c r="AD29" s="23">
        <v>4.2916999999999996</v>
      </c>
      <c r="AE29" s="23">
        <v>4.2916999999999996</v>
      </c>
      <c r="AF29" s="15"/>
      <c r="AG29" s="24"/>
      <c r="AH29" s="24"/>
      <c r="AI29" s="24"/>
      <c r="AJ29" s="24"/>
      <c r="AK29" s="35" t="s">
        <v>8</v>
      </c>
      <c r="AL29" s="23">
        <v>4.2916999999999996</v>
      </c>
      <c r="AM29" s="23">
        <v>4.2916999999999996</v>
      </c>
      <c r="AN29" s="23">
        <v>4.2916999999999996</v>
      </c>
      <c r="AO29" s="23">
        <v>4.2916999999999996</v>
      </c>
      <c r="AP29" s="23">
        <v>4.2916999999999996</v>
      </c>
      <c r="AQ29" s="23">
        <v>4.2916999999999996</v>
      </c>
      <c r="AR29" s="23">
        <v>4.2916999999999996</v>
      </c>
      <c r="AS29" s="23">
        <v>4.2916999999999996</v>
      </c>
      <c r="AT29" s="23">
        <v>4.2916999999999996</v>
      </c>
      <c r="AU29" s="23">
        <v>4.2916999999999996</v>
      </c>
      <c r="AV29" s="23">
        <v>4.2916999999999996</v>
      </c>
      <c r="AW29" s="23">
        <v>4.2916999999999996</v>
      </c>
      <c r="AX29" s="15"/>
      <c r="AY29" s="24"/>
      <c r="AZ29" s="24"/>
      <c r="BA29" s="24"/>
      <c r="BB29" s="24"/>
    </row>
    <row r="30" spans="1:54">
      <c r="A30" s="35" t="s">
        <v>9</v>
      </c>
      <c r="B30" s="18">
        <f t="shared" ref="B30:M30" si="21">+B28*B29</f>
        <v>286051.10340000002</v>
      </c>
      <c r="C30" s="18">
        <f t="shared" si="21"/>
        <v>286051.10340000002</v>
      </c>
      <c r="D30" s="18">
        <f t="shared" si="21"/>
        <v>286051.10340000002</v>
      </c>
      <c r="E30" s="18">
        <f t="shared" si="21"/>
        <v>286051.10340000002</v>
      </c>
      <c r="F30" s="18">
        <f t="shared" si="21"/>
        <v>223537.48619999998</v>
      </c>
      <c r="G30" s="18">
        <f t="shared" si="21"/>
        <v>223537.48619999998</v>
      </c>
      <c r="H30" s="18">
        <f t="shared" si="21"/>
        <v>223537.48619999998</v>
      </c>
      <c r="I30" s="18">
        <f t="shared" si="21"/>
        <v>223537.48619999998</v>
      </c>
      <c r="J30" s="18">
        <f t="shared" si="21"/>
        <v>223537.48619999998</v>
      </c>
      <c r="K30" s="18">
        <f t="shared" si="21"/>
        <v>223537.48619999998</v>
      </c>
      <c r="L30" s="18">
        <f t="shared" si="21"/>
        <v>223537.48619999998</v>
      </c>
      <c r="M30" s="18">
        <f t="shared" si="21"/>
        <v>223537.48619999998</v>
      </c>
      <c r="N30" s="18">
        <f>SUM(B30:M30)</f>
        <v>2932504.3032000004</v>
      </c>
      <c r="O30" s="24"/>
      <c r="P30" s="24"/>
      <c r="Q30" s="24"/>
      <c r="R30" s="24"/>
      <c r="S30" s="35" t="s">
        <v>9</v>
      </c>
      <c r="T30" s="18">
        <f t="shared" ref="T30:AE30" si="22">+T28*T29</f>
        <v>223537.48619999998</v>
      </c>
      <c r="U30" s="18">
        <f t="shared" si="22"/>
        <v>223537.48619999998</v>
      </c>
      <c r="V30" s="18">
        <f t="shared" si="22"/>
        <v>223537.48619999998</v>
      </c>
      <c r="W30" s="18">
        <f t="shared" si="22"/>
        <v>223537.48619999998</v>
      </c>
      <c r="X30" s="18">
        <f t="shared" si="22"/>
        <v>223537.48619999998</v>
      </c>
      <c r="Y30" s="18">
        <f t="shared" si="22"/>
        <v>223537.48619999998</v>
      </c>
      <c r="Z30" s="18">
        <f t="shared" si="22"/>
        <v>223537.48619999998</v>
      </c>
      <c r="AA30" s="18">
        <f t="shared" si="22"/>
        <v>223537.48619999998</v>
      </c>
      <c r="AB30" s="18">
        <f t="shared" si="22"/>
        <v>223537.48619999998</v>
      </c>
      <c r="AC30" s="18">
        <f t="shared" si="22"/>
        <v>223537.48619999998</v>
      </c>
      <c r="AD30" s="18">
        <f t="shared" si="22"/>
        <v>223537.48619999998</v>
      </c>
      <c r="AE30" s="18">
        <f t="shared" si="22"/>
        <v>223537.48619999998</v>
      </c>
      <c r="AF30" s="18">
        <f>SUM(T30:AE30)</f>
        <v>2682449.8344000001</v>
      </c>
      <c r="AG30" s="24"/>
      <c r="AH30" s="24"/>
      <c r="AI30" s="24"/>
      <c r="AJ30" s="24"/>
      <c r="AK30" s="35" t="s">
        <v>9</v>
      </c>
      <c r="AL30" s="18">
        <f t="shared" ref="AL30:AW30" si="23">+AL28*AL29</f>
        <v>223537.48619999998</v>
      </c>
      <c r="AM30" s="18">
        <f t="shared" si="23"/>
        <v>223537.48619999998</v>
      </c>
      <c r="AN30" s="18">
        <f t="shared" si="23"/>
        <v>223537.48619999998</v>
      </c>
      <c r="AO30" s="18">
        <f t="shared" si="23"/>
        <v>223537.48619999998</v>
      </c>
      <c r="AP30" s="18">
        <f t="shared" si="23"/>
        <v>223537.48619999998</v>
      </c>
      <c r="AQ30" s="18">
        <f t="shared" si="23"/>
        <v>223537.48619999998</v>
      </c>
      <c r="AR30" s="18">
        <f t="shared" si="23"/>
        <v>223537.48619999998</v>
      </c>
      <c r="AS30" s="18">
        <f t="shared" si="23"/>
        <v>223537.48619999998</v>
      </c>
      <c r="AT30" s="18">
        <f t="shared" si="23"/>
        <v>223537.48619999998</v>
      </c>
      <c r="AU30" s="18">
        <f t="shared" si="23"/>
        <v>223537.48619999998</v>
      </c>
      <c r="AV30" s="18">
        <f t="shared" si="23"/>
        <v>223537.48619999998</v>
      </c>
      <c r="AW30" s="18">
        <f t="shared" si="23"/>
        <v>223537.48619999998</v>
      </c>
      <c r="AX30" s="18">
        <f>SUM(AL30:AW30)</f>
        <v>2682449.8344000001</v>
      </c>
      <c r="AY30" s="24"/>
      <c r="AZ30" s="24"/>
      <c r="BA30" s="24"/>
      <c r="BB30" s="24"/>
    </row>
    <row r="31" spans="1:54">
      <c r="A31" s="3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24"/>
      <c r="P31" s="24"/>
      <c r="Q31" s="24"/>
      <c r="R31" s="24"/>
      <c r="S31" s="3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24"/>
      <c r="AH31" s="24"/>
      <c r="AI31" s="24"/>
      <c r="AJ31" s="24"/>
      <c r="AK31" s="3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24"/>
      <c r="AZ31" s="24"/>
      <c r="BA31" s="24"/>
      <c r="BB31" s="24"/>
    </row>
    <row r="32" spans="1:54">
      <c r="A32" s="35" t="s">
        <v>10</v>
      </c>
      <c r="B32" s="15">
        <f>35979+15000</f>
        <v>50979</v>
      </c>
      <c r="C32" s="15">
        <f t="shared" ref="C32:M32" si="24">35979+15000</f>
        <v>50979</v>
      </c>
      <c r="D32" s="15">
        <f t="shared" si="24"/>
        <v>50979</v>
      </c>
      <c r="E32" s="15">
        <f t="shared" si="24"/>
        <v>50979</v>
      </c>
      <c r="F32" s="15">
        <f t="shared" si="24"/>
        <v>50979</v>
      </c>
      <c r="G32" s="15">
        <f t="shared" si="24"/>
        <v>50979</v>
      </c>
      <c r="H32" s="15">
        <f t="shared" si="24"/>
        <v>50979</v>
      </c>
      <c r="I32" s="15">
        <f t="shared" si="24"/>
        <v>50979</v>
      </c>
      <c r="J32" s="15">
        <f t="shared" si="24"/>
        <v>50979</v>
      </c>
      <c r="K32" s="15">
        <f t="shared" si="24"/>
        <v>50979</v>
      </c>
      <c r="L32" s="15">
        <f t="shared" si="24"/>
        <v>50979</v>
      </c>
      <c r="M32" s="15">
        <f t="shared" si="24"/>
        <v>50979</v>
      </c>
      <c r="N32" s="15"/>
      <c r="O32" s="24"/>
      <c r="P32" s="24"/>
      <c r="Q32" s="24"/>
      <c r="R32" s="24"/>
      <c r="S32" s="35" t="s">
        <v>10</v>
      </c>
      <c r="T32" s="15">
        <f>35979+15000</f>
        <v>50979</v>
      </c>
      <c r="U32" s="15">
        <f t="shared" ref="U32:AE32" si="25">35979+15000</f>
        <v>50979</v>
      </c>
      <c r="V32" s="15">
        <f t="shared" si="25"/>
        <v>50979</v>
      </c>
      <c r="W32" s="15">
        <f t="shared" si="25"/>
        <v>50979</v>
      </c>
      <c r="X32" s="15">
        <f t="shared" si="25"/>
        <v>50979</v>
      </c>
      <c r="Y32" s="15">
        <f t="shared" si="25"/>
        <v>50979</v>
      </c>
      <c r="Z32" s="15">
        <f t="shared" si="25"/>
        <v>50979</v>
      </c>
      <c r="AA32" s="15">
        <f t="shared" si="25"/>
        <v>50979</v>
      </c>
      <c r="AB32" s="15">
        <f t="shared" si="25"/>
        <v>50979</v>
      </c>
      <c r="AC32" s="15">
        <f t="shared" si="25"/>
        <v>50979</v>
      </c>
      <c r="AD32" s="15">
        <f t="shared" si="25"/>
        <v>50979</v>
      </c>
      <c r="AE32" s="15">
        <f t="shared" si="25"/>
        <v>50979</v>
      </c>
      <c r="AF32" s="15"/>
      <c r="AG32" s="24"/>
      <c r="AH32" s="24"/>
      <c r="AI32" s="24"/>
      <c r="AJ32" s="24"/>
      <c r="AK32" s="35" t="s">
        <v>10</v>
      </c>
      <c r="AL32" s="15">
        <f>35979+15000</f>
        <v>50979</v>
      </c>
      <c r="AM32" s="15">
        <f t="shared" ref="AM32:AW32" si="26">35979+15000</f>
        <v>50979</v>
      </c>
      <c r="AN32" s="15">
        <f t="shared" si="26"/>
        <v>50979</v>
      </c>
      <c r="AO32" s="15">
        <f t="shared" si="26"/>
        <v>50979</v>
      </c>
      <c r="AP32" s="15">
        <f t="shared" si="26"/>
        <v>50979</v>
      </c>
      <c r="AQ32" s="15">
        <f t="shared" si="26"/>
        <v>50979</v>
      </c>
      <c r="AR32" s="15">
        <f t="shared" si="26"/>
        <v>50979</v>
      </c>
      <c r="AS32" s="15">
        <f t="shared" si="26"/>
        <v>50979</v>
      </c>
      <c r="AT32" s="15">
        <f t="shared" si="26"/>
        <v>50979</v>
      </c>
      <c r="AU32" s="15">
        <f t="shared" si="26"/>
        <v>50979</v>
      </c>
      <c r="AV32" s="15">
        <f t="shared" si="26"/>
        <v>50979</v>
      </c>
      <c r="AW32" s="15">
        <f t="shared" si="26"/>
        <v>50979</v>
      </c>
      <c r="AX32" s="15"/>
      <c r="AY32" s="24"/>
      <c r="AZ32" s="24"/>
      <c r="BA32" s="24"/>
      <c r="BB32" s="24"/>
    </row>
    <row r="33" spans="1:54">
      <c r="A33" s="35" t="s">
        <v>11</v>
      </c>
      <c r="B33" s="414">
        <v>6.0019999999999998</v>
      </c>
      <c r="C33" s="414">
        <v>6.0019999999999998</v>
      </c>
      <c r="D33" s="414">
        <v>6.0620000000000003</v>
      </c>
      <c r="E33" s="414">
        <v>6.0620000000000003</v>
      </c>
      <c r="F33" s="414">
        <v>6.0620000000000003</v>
      </c>
      <c r="G33" s="414">
        <v>6.0620000000000003</v>
      </c>
      <c r="H33" s="414">
        <v>6.0620000000000003</v>
      </c>
      <c r="I33" s="414">
        <v>6.09</v>
      </c>
      <c r="J33" s="414">
        <v>6.09</v>
      </c>
      <c r="K33" s="414">
        <v>6.0890000000000004</v>
      </c>
      <c r="L33" s="414">
        <v>6.0890000000000004</v>
      </c>
      <c r="M33" s="414">
        <v>6.0890000000000004</v>
      </c>
      <c r="N33" s="23"/>
      <c r="O33" s="24"/>
      <c r="P33" s="24"/>
      <c r="Q33" s="24"/>
      <c r="R33" s="24"/>
      <c r="S33" s="35" t="s">
        <v>11</v>
      </c>
      <c r="T33" s="23">
        <v>6.1</v>
      </c>
      <c r="U33" s="23">
        <v>6.1</v>
      </c>
      <c r="V33" s="23">
        <v>6.1</v>
      </c>
      <c r="W33" s="23">
        <v>6.1</v>
      </c>
      <c r="X33" s="23">
        <v>6.1</v>
      </c>
      <c r="Y33" s="23">
        <v>6.1</v>
      </c>
      <c r="Z33" s="23">
        <v>6.1</v>
      </c>
      <c r="AA33" s="23">
        <v>6.1</v>
      </c>
      <c r="AB33" s="23">
        <v>6.1</v>
      </c>
      <c r="AC33" s="23">
        <v>6.1</v>
      </c>
      <c r="AD33" s="23">
        <v>6.1</v>
      </c>
      <c r="AE33" s="23">
        <v>6.1</v>
      </c>
      <c r="AF33" s="15"/>
      <c r="AG33" s="24"/>
      <c r="AH33" s="24"/>
      <c r="AI33" s="24"/>
      <c r="AJ33" s="24"/>
      <c r="AK33" s="35" t="s">
        <v>11</v>
      </c>
      <c r="AL33" s="23">
        <v>6.1</v>
      </c>
      <c r="AM33" s="23">
        <v>6.1</v>
      </c>
      <c r="AN33" s="23">
        <v>6.1</v>
      </c>
      <c r="AO33" s="23">
        <v>6.1</v>
      </c>
      <c r="AP33" s="23">
        <v>6.1</v>
      </c>
      <c r="AQ33" s="23">
        <v>6.1</v>
      </c>
      <c r="AR33" s="23">
        <v>6.1</v>
      </c>
      <c r="AS33" s="23">
        <v>6.1</v>
      </c>
      <c r="AT33" s="23">
        <v>6.1</v>
      </c>
      <c r="AU33" s="23">
        <v>6.1</v>
      </c>
      <c r="AV33" s="23">
        <v>6.1</v>
      </c>
      <c r="AW33" s="23">
        <v>6.1</v>
      </c>
      <c r="AX33" s="15"/>
      <c r="AY33" s="24"/>
      <c r="AZ33" s="24"/>
      <c r="BA33" s="24"/>
      <c r="BB33" s="24"/>
    </row>
    <row r="34" spans="1:54">
      <c r="A34" s="35" t="s">
        <v>12</v>
      </c>
      <c r="B34" s="18">
        <f t="shared" ref="B34:M34" si="27">+B32*B33</f>
        <v>305975.95799999998</v>
      </c>
      <c r="C34" s="18">
        <f t="shared" si="27"/>
        <v>305975.95799999998</v>
      </c>
      <c r="D34" s="18">
        <f t="shared" si="27"/>
        <v>309034.69800000003</v>
      </c>
      <c r="E34" s="18">
        <f t="shared" si="27"/>
        <v>309034.69800000003</v>
      </c>
      <c r="F34" s="18">
        <f t="shared" si="27"/>
        <v>309034.69800000003</v>
      </c>
      <c r="G34" s="18">
        <f t="shared" si="27"/>
        <v>309034.69800000003</v>
      </c>
      <c r="H34" s="18">
        <f t="shared" si="27"/>
        <v>309034.69800000003</v>
      </c>
      <c r="I34" s="18">
        <f t="shared" si="27"/>
        <v>310462.11</v>
      </c>
      <c r="J34" s="18">
        <f t="shared" si="27"/>
        <v>310462.11</v>
      </c>
      <c r="K34" s="18">
        <f t="shared" si="27"/>
        <v>310411.13099999999</v>
      </c>
      <c r="L34" s="18">
        <f t="shared" si="27"/>
        <v>310411.13099999999</v>
      </c>
      <c r="M34" s="18">
        <f t="shared" si="27"/>
        <v>310411.13099999999</v>
      </c>
      <c r="N34" s="18">
        <f>SUM(B34:M34)</f>
        <v>3709283.0190000003</v>
      </c>
      <c r="O34" s="24"/>
      <c r="P34" s="24"/>
      <c r="Q34" s="24"/>
      <c r="R34" s="24"/>
      <c r="S34" s="35" t="s">
        <v>12</v>
      </c>
      <c r="T34" s="18">
        <f t="shared" ref="T34:AE34" si="28">+T32*T33</f>
        <v>310971.89999999997</v>
      </c>
      <c r="U34" s="18">
        <f t="shared" si="28"/>
        <v>310971.89999999997</v>
      </c>
      <c r="V34" s="18">
        <f t="shared" si="28"/>
        <v>310971.89999999997</v>
      </c>
      <c r="W34" s="18">
        <f t="shared" si="28"/>
        <v>310971.89999999997</v>
      </c>
      <c r="X34" s="18">
        <f t="shared" si="28"/>
        <v>310971.89999999997</v>
      </c>
      <c r="Y34" s="18">
        <f t="shared" si="28"/>
        <v>310971.89999999997</v>
      </c>
      <c r="Z34" s="18">
        <f t="shared" si="28"/>
        <v>310971.89999999997</v>
      </c>
      <c r="AA34" s="18">
        <f t="shared" si="28"/>
        <v>310971.89999999997</v>
      </c>
      <c r="AB34" s="18">
        <f t="shared" si="28"/>
        <v>310971.89999999997</v>
      </c>
      <c r="AC34" s="18">
        <f t="shared" si="28"/>
        <v>310971.89999999997</v>
      </c>
      <c r="AD34" s="18">
        <f t="shared" si="28"/>
        <v>310971.89999999997</v>
      </c>
      <c r="AE34" s="18">
        <f t="shared" si="28"/>
        <v>310971.89999999997</v>
      </c>
      <c r="AF34" s="18">
        <f>SUM(T34:AE34)</f>
        <v>3731662.7999999993</v>
      </c>
      <c r="AG34" s="24"/>
      <c r="AH34" s="24"/>
      <c r="AI34" s="24"/>
      <c r="AJ34" s="24"/>
      <c r="AK34" s="35" t="s">
        <v>12</v>
      </c>
      <c r="AL34" s="18">
        <f t="shared" ref="AL34:AW34" si="29">+AL32*AL33</f>
        <v>310971.89999999997</v>
      </c>
      <c r="AM34" s="18">
        <f t="shared" si="29"/>
        <v>310971.89999999997</v>
      </c>
      <c r="AN34" s="18">
        <f t="shared" si="29"/>
        <v>310971.89999999997</v>
      </c>
      <c r="AO34" s="18">
        <f t="shared" si="29"/>
        <v>310971.89999999997</v>
      </c>
      <c r="AP34" s="18">
        <f t="shared" si="29"/>
        <v>310971.89999999997</v>
      </c>
      <c r="AQ34" s="18">
        <f t="shared" si="29"/>
        <v>310971.89999999997</v>
      </c>
      <c r="AR34" s="18">
        <f t="shared" si="29"/>
        <v>310971.89999999997</v>
      </c>
      <c r="AS34" s="18">
        <f t="shared" si="29"/>
        <v>310971.89999999997</v>
      </c>
      <c r="AT34" s="18">
        <f t="shared" si="29"/>
        <v>310971.89999999997</v>
      </c>
      <c r="AU34" s="18">
        <f t="shared" si="29"/>
        <v>310971.89999999997</v>
      </c>
      <c r="AV34" s="18">
        <f t="shared" si="29"/>
        <v>310971.89999999997</v>
      </c>
      <c r="AW34" s="18">
        <f t="shared" si="29"/>
        <v>310971.89999999997</v>
      </c>
      <c r="AX34" s="18">
        <f>SUM(AL34:AW34)</f>
        <v>3731662.7999999993</v>
      </c>
      <c r="AY34" s="24"/>
      <c r="AZ34" s="24"/>
      <c r="BA34" s="24"/>
      <c r="BB34" s="24"/>
    </row>
    <row r="35" spans="1:54">
      <c r="A35" s="3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24"/>
      <c r="P35" s="24"/>
      <c r="Q35" s="24"/>
      <c r="R35" s="24"/>
      <c r="S35" s="3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24"/>
      <c r="AH35" s="24"/>
      <c r="AI35" s="24"/>
      <c r="AJ35" s="24"/>
      <c r="AK35" s="3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24"/>
      <c r="AZ35" s="24"/>
      <c r="BA35" s="24"/>
      <c r="BB35" s="24"/>
    </row>
    <row r="36" spans="1:54">
      <c r="A36" s="338" t="s">
        <v>13</v>
      </c>
      <c r="B36" s="18">
        <f>SUM(B30,B34)</f>
        <v>592027.06140000001</v>
      </c>
      <c r="C36" s="18">
        <f t="shared" ref="C36:M36" si="30">SUM(C30,C34)</f>
        <v>592027.06140000001</v>
      </c>
      <c r="D36" s="18">
        <f t="shared" si="30"/>
        <v>595085.8014</v>
      </c>
      <c r="E36" s="18">
        <f t="shared" si="30"/>
        <v>595085.8014</v>
      </c>
      <c r="F36" s="18">
        <f t="shared" si="30"/>
        <v>532572.18420000002</v>
      </c>
      <c r="G36" s="18">
        <f t="shared" si="30"/>
        <v>532572.18420000002</v>
      </c>
      <c r="H36" s="18">
        <f t="shared" si="30"/>
        <v>532572.18420000002</v>
      </c>
      <c r="I36" s="18">
        <f t="shared" si="30"/>
        <v>533999.59620000003</v>
      </c>
      <c r="J36" s="18">
        <f t="shared" si="30"/>
        <v>533999.59620000003</v>
      </c>
      <c r="K36" s="18">
        <f t="shared" si="30"/>
        <v>533948.61719999998</v>
      </c>
      <c r="L36" s="18">
        <f t="shared" si="30"/>
        <v>533948.61719999998</v>
      </c>
      <c r="M36" s="18">
        <f t="shared" si="30"/>
        <v>533948.61719999998</v>
      </c>
      <c r="N36" s="284">
        <f>SUM(B36:M36)</f>
        <v>6641787.3222000003</v>
      </c>
      <c r="O36" s="39">
        <f>N36/12</f>
        <v>553482.27685000002</v>
      </c>
      <c r="P36" s="28">
        <v>50979</v>
      </c>
      <c r="Q36" s="195">
        <f>O36/P36</f>
        <v>10.857064219580613</v>
      </c>
      <c r="R36" s="195">
        <f>(Q36*1.04)/(1-0.025)</f>
        <v>11.580868500885988</v>
      </c>
      <c r="S36" s="338" t="s">
        <v>13</v>
      </c>
      <c r="T36" s="18">
        <f>SUM(T30,T34)</f>
        <v>534509.38619999995</v>
      </c>
      <c r="U36" s="18">
        <f t="shared" ref="U36:AE36" si="31">SUM(U30,U34)</f>
        <v>534509.38619999995</v>
      </c>
      <c r="V36" s="18">
        <f t="shared" si="31"/>
        <v>534509.38619999995</v>
      </c>
      <c r="W36" s="18">
        <f t="shared" si="31"/>
        <v>534509.38619999995</v>
      </c>
      <c r="X36" s="18">
        <f t="shared" si="31"/>
        <v>534509.38619999995</v>
      </c>
      <c r="Y36" s="18">
        <f t="shared" si="31"/>
        <v>534509.38619999995</v>
      </c>
      <c r="Z36" s="18">
        <f t="shared" si="31"/>
        <v>534509.38619999995</v>
      </c>
      <c r="AA36" s="18">
        <f t="shared" si="31"/>
        <v>534509.38619999995</v>
      </c>
      <c r="AB36" s="18">
        <f t="shared" si="31"/>
        <v>534509.38619999995</v>
      </c>
      <c r="AC36" s="18">
        <f t="shared" si="31"/>
        <v>534509.38619999995</v>
      </c>
      <c r="AD36" s="18">
        <f t="shared" si="31"/>
        <v>534509.38619999995</v>
      </c>
      <c r="AE36" s="18">
        <f t="shared" si="31"/>
        <v>534509.38619999995</v>
      </c>
      <c r="AF36" s="284">
        <f>SUM(T36:AE36)</f>
        <v>6414112.634399998</v>
      </c>
      <c r="AG36" s="39">
        <f>AF36/12</f>
        <v>534509.38619999983</v>
      </c>
      <c r="AH36" s="28">
        <v>50979</v>
      </c>
      <c r="AI36" s="17">
        <f>AG36/AH36</f>
        <v>10.484893509091975</v>
      </c>
      <c r="AJ36" s="195">
        <f>(AI36*1.04)/(1-0.025)</f>
        <v>11.183886409698108</v>
      </c>
      <c r="AK36" s="338" t="s">
        <v>13</v>
      </c>
      <c r="AL36" s="18">
        <f>SUM(AL30,AL34)</f>
        <v>534509.38619999995</v>
      </c>
      <c r="AM36" s="18">
        <f t="shared" ref="AM36:AW36" si="32">SUM(AM30,AM34)</f>
        <v>534509.38619999995</v>
      </c>
      <c r="AN36" s="18">
        <f t="shared" si="32"/>
        <v>534509.38619999995</v>
      </c>
      <c r="AO36" s="18">
        <f t="shared" si="32"/>
        <v>534509.38619999995</v>
      </c>
      <c r="AP36" s="18">
        <f t="shared" si="32"/>
        <v>534509.38619999995</v>
      </c>
      <c r="AQ36" s="18">
        <f t="shared" si="32"/>
        <v>534509.38619999995</v>
      </c>
      <c r="AR36" s="18">
        <f t="shared" si="32"/>
        <v>534509.38619999995</v>
      </c>
      <c r="AS36" s="18">
        <f t="shared" si="32"/>
        <v>534509.38619999995</v>
      </c>
      <c r="AT36" s="18">
        <f t="shared" si="32"/>
        <v>534509.38619999995</v>
      </c>
      <c r="AU36" s="18">
        <f t="shared" si="32"/>
        <v>534509.38619999995</v>
      </c>
      <c r="AV36" s="18">
        <f t="shared" si="32"/>
        <v>534509.38619999995</v>
      </c>
      <c r="AW36" s="18">
        <f t="shared" si="32"/>
        <v>534509.38619999995</v>
      </c>
      <c r="AX36" s="284">
        <f>SUM(AL36:AW36)</f>
        <v>6414112.634399998</v>
      </c>
      <c r="AY36" s="39">
        <f>AX36/12</f>
        <v>534509.38619999983</v>
      </c>
      <c r="AZ36" s="28">
        <v>50979</v>
      </c>
      <c r="BA36" s="17">
        <f>AY36/AZ36</f>
        <v>10.484893509091975</v>
      </c>
      <c r="BB36" s="195">
        <f>(BA36*1.04)/(1-0.025)</f>
        <v>11.183886409698108</v>
      </c>
    </row>
    <row r="37" spans="1:54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24"/>
      <c r="P37" s="24"/>
      <c r="Q37" s="24"/>
      <c r="R37" s="24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24"/>
      <c r="AH37" s="24"/>
      <c r="AI37" s="24"/>
      <c r="AJ37" s="24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24"/>
      <c r="AZ37" s="24"/>
      <c r="BA37" s="24"/>
      <c r="BB37" s="24"/>
    </row>
    <row r="38" spans="1:54">
      <c r="A38" s="35" t="s">
        <v>14</v>
      </c>
      <c r="B38" s="28">
        <v>10032</v>
      </c>
      <c r="C38" s="28">
        <v>10032</v>
      </c>
      <c r="D38" s="28">
        <v>10032</v>
      </c>
      <c r="E38" s="28">
        <v>10032</v>
      </c>
      <c r="F38" s="28">
        <v>10032</v>
      </c>
      <c r="G38" s="28">
        <v>10032</v>
      </c>
      <c r="H38" s="28">
        <v>10032</v>
      </c>
      <c r="I38" s="28">
        <v>10032</v>
      </c>
      <c r="J38" s="28">
        <v>10032</v>
      </c>
      <c r="K38" s="28">
        <v>10032</v>
      </c>
      <c r="L38" s="28">
        <v>10032</v>
      </c>
      <c r="M38" s="28">
        <v>10032</v>
      </c>
      <c r="N38" s="24"/>
      <c r="O38" s="24"/>
      <c r="P38" s="24"/>
      <c r="Q38" s="24"/>
      <c r="R38" s="24"/>
      <c r="S38" s="35" t="s">
        <v>14</v>
      </c>
      <c r="T38" s="28">
        <v>10032</v>
      </c>
      <c r="U38" s="28">
        <v>10032</v>
      </c>
      <c r="V38" s="28">
        <v>10032</v>
      </c>
      <c r="W38" s="28">
        <v>10032</v>
      </c>
      <c r="X38" s="28">
        <v>10032</v>
      </c>
      <c r="Y38" s="28">
        <v>10032</v>
      </c>
      <c r="Z38" s="28">
        <v>10032</v>
      </c>
      <c r="AA38" s="28">
        <v>10032</v>
      </c>
      <c r="AB38" s="28">
        <v>10032</v>
      </c>
      <c r="AC38" s="28">
        <v>10032</v>
      </c>
      <c r="AD38" s="28">
        <v>10032</v>
      </c>
      <c r="AE38" s="28">
        <v>10032</v>
      </c>
      <c r="AF38" s="24"/>
      <c r="AG38" s="24"/>
      <c r="AH38" s="24"/>
      <c r="AI38" s="24"/>
      <c r="AJ38" s="24"/>
      <c r="AK38" s="35" t="s">
        <v>14</v>
      </c>
      <c r="AL38" s="28">
        <v>10032</v>
      </c>
      <c r="AM38" s="28">
        <v>10032</v>
      </c>
      <c r="AN38" s="28">
        <v>10032</v>
      </c>
      <c r="AO38" s="28">
        <v>10032</v>
      </c>
      <c r="AP38" s="28">
        <v>10032</v>
      </c>
      <c r="AQ38" s="28">
        <v>10032</v>
      </c>
      <c r="AR38" s="28">
        <v>10032</v>
      </c>
      <c r="AS38" s="28">
        <v>10032</v>
      </c>
      <c r="AT38" s="28">
        <v>10032</v>
      </c>
      <c r="AU38" s="28">
        <v>10032</v>
      </c>
      <c r="AV38" s="28">
        <v>10032</v>
      </c>
      <c r="AW38" s="28">
        <v>10032</v>
      </c>
      <c r="AX38" s="24"/>
      <c r="AY38" s="24"/>
      <c r="AZ38" s="24"/>
      <c r="BA38" s="24"/>
      <c r="BB38" s="24"/>
    </row>
    <row r="39" spans="1:54">
      <c r="A39" s="35" t="s">
        <v>15</v>
      </c>
      <c r="B39" s="21">
        <f t="shared" ref="B39:M39" si="33">+B40/B38</f>
        <v>12.497709554425837</v>
      </c>
      <c r="C39" s="21">
        <f t="shared" si="33"/>
        <v>11.9536028907496</v>
      </c>
      <c r="D39" s="21">
        <f t="shared" si="33"/>
        <v>11.568002990430621</v>
      </c>
      <c r="E39" s="21">
        <f t="shared" si="33"/>
        <v>11.9536028907496</v>
      </c>
      <c r="F39" s="21">
        <f t="shared" si="33"/>
        <v>11.568001993620415</v>
      </c>
      <c r="G39" s="21">
        <f t="shared" si="33"/>
        <v>11.953602890749604</v>
      </c>
      <c r="H39" s="21">
        <f t="shared" si="33"/>
        <v>11.953602890749604</v>
      </c>
      <c r="I39" s="21">
        <f t="shared" si="33"/>
        <v>11.182402312599681</v>
      </c>
      <c r="J39" s="21">
        <f t="shared" si="33"/>
        <v>11.953602472089315</v>
      </c>
      <c r="K39" s="21">
        <f t="shared" si="33"/>
        <v>11.552840909090909</v>
      </c>
      <c r="L39" s="21">
        <f t="shared" si="33"/>
        <v>11.937935606060606</v>
      </c>
      <c r="M39" s="21">
        <f t="shared" si="33"/>
        <v>11.552840909090909</v>
      </c>
      <c r="N39" s="24"/>
      <c r="O39" s="24"/>
      <c r="P39" s="24"/>
      <c r="Q39" s="24"/>
      <c r="R39" s="24"/>
      <c r="S39" s="35" t="s">
        <v>15</v>
      </c>
      <c r="T39" s="21">
        <f t="shared" ref="T39:AE39" si="34">+T40/T38</f>
        <v>11.961722488038278</v>
      </c>
      <c r="U39" s="21">
        <f t="shared" si="34"/>
        <v>11.961722488038278</v>
      </c>
      <c r="V39" s="21">
        <f t="shared" si="34"/>
        <v>11.961722488038278</v>
      </c>
      <c r="W39" s="21">
        <f t="shared" si="34"/>
        <v>11.961722488038278</v>
      </c>
      <c r="X39" s="21">
        <f t="shared" si="34"/>
        <v>11.961722488038278</v>
      </c>
      <c r="Y39" s="21">
        <f t="shared" si="34"/>
        <v>11.961722488038278</v>
      </c>
      <c r="Z39" s="21">
        <f t="shared" si="34"/>
        <v>11.961722488038278</v>
      </c>
      <c r="AA39" s="21">
        <f t="shared" si="34"/>
        <v>11.961722488038278</v>
      </c>
      <c r="AB39" s="21">
        <f t="shared" si="34"/>
        <v>11.961722488038278</v>
      </c>
      <c r="AC39" s="21">
        <f t="shared" si="34"/>
        <v>11.961722488038278</v>
      </c>
      <c r="AD39" s="21">
        <f t="shared" si="34"/>
        <v>11.961722488038278</v>
      </c>
      <c r="AE39" s="21">
        <f t="shared" si="34"/>
        <v>11.961722488038278</v>
      </c>
      <c r="AF39" s="24"/>
      <c r="AG39" s="24"/>
      <c r="AH39" s="24"/>
      <c r="AI39" s="24"/>
      <c r="AJ39" s="24"/>
      <c r="AK39" s="35" t="s">
        <v>15</v>
      </c>
      <c r="AL39" s="21">
        <f t="shared" ref="AL39:AW39" si="35">+AL40/AL38</f>
        <v>11.961722488038278</v>
      </c>
      <c r="AM39" s="21">
        <f t="shared" si="35"/>
        <v>11.961722488038278</v>
      </c>
      <c r="AN39" s="21">
        <f t="shared" si="35"/>
        <v>11.961722488038278</v>
      </c>
      <c r="AO39" s="21">
        <f t="shared" si="35"/>
        <v>11.961722488038278</v>
      </c>
      <c r="AP39" s="21">
        <f t="shared" si="35"/>
        <v>11.961722488038278</v>
      </c>
      <c r="AQ39" s="21">
        <f t="shared" si="35"/>
        <v>11.961722488038278</v>
      </c>
      <c r="AR39" s="21">
        <f t="shared" si="35"/>
        <v>11.961722488038278</v>
      </c>
      <c r="AS39" s="21">
        <f t="shared" si="35"/>
        <v>11.961722488038278</v>
      </c>
      <c r="AT39" s="21">
        <f t="shared" si="35"/>
        <v>11.961722488038278</v>
      </c>
      <c r="AU39" s="21">
        <f t="shared" si="35"/>
        <v>11.961722488038278</v>
      </c>
      <c r="AV39" s="21">
        <f t="shared" si="35"/>
        <v>11.961722488038278</v>
      </c>
      <c r="AW39" s="21">
        <f t="shared" si="35"/>
        <v>11.961722488038278</v>
      </c>
      <c r="AX39" s="24"/>
      <c r="AY39" s="24"/>
      <c r="AZ39" s="24"/>
      <c r="BA39" s="24"/>
      <c r="BB39" s="24"/>
    </row>
    <row r="40" spans="1:54">
      <c r="A40" s="35" t="s">
        <v>16</v>
      </c>
      <c r="B40" s="411">
        <v>125377.02224999999</v>
      </c>
      <c r="C40" s="411">
        <v>119918.54419999999</v>
      </c>
      <c r="D40" s="411">
        <v>116050.20599999999</v>
      </c>
      <c r="E40" s="411">
        <v>119918.54419999999</v>
      </c>
      <c r="F40" s="411">
        <v>116050.196</v>
      </c>
      <c r="G40" s="411">
        <v>119918.54420000002</v>
      </c>
      <c r="H40" s="411">
        <v>119918.54420000002</v>
      </c>
      <c r="I40" s="411">
        <v>112181.86</v>
      </c>
      <c r="J40" s="411">
        <v>119918.54000000001</v>
      </c>
      <c r="K40" s="411">
        <v>115898.1</v>
      </c>
      <c r="L40" s="411">
        <v>119761.37</v>
      </c>
      <c r="M40" s="411">
        <v>115898.1</v>
      </c>
      <c r="N40" s="18">
        <f>SUM(B40:M40)</f>
        <v>1420809.5710499999</v>
      </c>
      <c r="O40" s="24"/>
      <c r="P40" s="24"/>
      <c r="Q40" s="24"/>
      <c r="R40" s="24"/>
      <c r="S40" s="35" t="s">
        <v>16</v>
      </c>
      <c r="T40" s="26">
        <v>120000</v>
      </c>
      <c r="U40" s="26">
        <v>120000</v>
      </c>
      <c r="V40" s="26">
        <v>120000</v>
      </c>
      <c r="W40" s="26">
        <v>120000</v>
      </c>
      <c r="X40" s="26">
        <v>120000</v>
      </c>
      <c r="Y40" s="26">
        <v>120000</v>
      </c>
      <c r="Z40" s="26">
        <v>120000</v>
      </c>
      <c r="AA40" s="26">
        <v>120000</v>
      </c>
      <c r="AB40" s="26">
        <v>120000</v>
      </c>
      <c r="AC40" s="26">
        <v>120000</v>
      </c>
      <c r="AD40" s="26">
        <v>120000</v>
      </c>
      <c r="AE40" s="26">
        <v>120000</v>
      </c>
      <c r="AF40" s="18">
        <f>SUM(T40:AE40)</f>
        <v>1440000</v>
      </c>
      <c r="AG40" s="24"/>
      <c r="AH40" s="24"/>
      <c r="AI40" s="24"/>
      <c r="AJ40" s="24"/>
      <c r="AK40" s="35" t="s">
        <v>16</v>
      </c>
      <c r="AL40" s="26">
        <v>120000</v>
      </c>
      <c r="AM40" s="26">
        <v>120000</v>
      </c>
      <c r="AN40" s="26">
        <v>120000</v>
      </c>
      <c r="AO40" s="26">
        <v>120000</v>
      </c>
      <c r="AP40" s="26">
        <v>120000</v>
      </c>
      <c r="AQ40" s="26">
        <v>120000</v>
      </c>
      <c r="AR40" s="26">
        <v>120000</v>
      </c>
      <c r="AS40" s="26">
        <v>120000</v>
      </c>
      <c r="AT40" s="26">
        <v>120000</v>
      </c>
      <c r="AU40" s="26">
        <v>120000</v>
      </c>
      <c r="AV40" s="26">
        <v>120000</v>
      </c>
      <c r="AW40" s="26">
        <v>120000</v>
      </c>
      <c r="AX40" s="18">
        <f>SUM(AL40:AW40)</f>
        <v>1440000</v>
      </c>
      <c r="AY40" s="24"/>
      <c r="AZ40" s="24"/>
      <c r="BA40" s="24"/>
      <c r="BB40" s="24"/>
    </row>
    <row r="41" spans="1:54"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</row>
    <row r="42" spans="1:54">
      <c r="A42" s="35" t="s">
        <v>196</v>
      </c>
      <c r="B42" s="28">
        <v>10032</v>
      </c>
      <c r="C42" s="28">
        <v>10032</v>
      </c>
      <c r="D42" s="28">
        <v>10032</v>
      </c>
      <c r="E42" s="28">
        <v>10032</v>
      </c>
      <c r="F42" s="28">
        <v>10032</v>
      </c>
      <c r="G42" s="28">
        <v>10032</v>
      </c>
      <c r="H42" s="28">
        <v>10032</v>
      </c>
      <c r="I42" s="28">
        <v>10032</v>
      </c>
      <c r="J42" s="28">
        <v>10032</v>
      </c>
      <c r="K42" s="28">
        <v>10032</v>
      </c>
      <c r="L42" s="28">
        <v>10032</v>
      </c>
      <c r="M42" s="28">
        <v>10032</v>
      </c>
      <c r="N42" s="24"/>
      <c r="O42" s="24"/>
      <c r="P42" s="24"/>
      <c r="Q42" s="24"/>
      <c r="R42" s="24"/>
      <c r="S42" s="35" t="s">
        <v>196</v>
      </c>
      <c r="T42" s="28">
        <v>10032</v>
      </c>
      <c r="U42" s="28">
        <v>10032</v>
      </c>
      <c r="V42" s="28">
        <v>10032</v>
      </c>
      <c r="W42" s="28">
        <v>10032</v>
      </c>
      <c r="X42" s="28">
        <v>10032</v>
      </c>
      <c r="Y42" s="28">
        <v>10032</v>
      </c>
      <c r="Z42" s="28">
        <v>10032</v>
      </c>
      <c r="AA42" s="28">
        <v>10032</v>
      </c>
      <c r="AB42" s="28">
        <v>10032</v>
      </c>
      <c r="AC42" s="28">
        <v>10032</v>
      </c>
      <c r="AD42" s="28">
        <v>10032</v>
      </c>
      <c r="AE42" s="28">
        <v>10032</v>
      </c>
      <c r="AF42" s="24"/>
      <c r="AG42" s="24"/>
      <c r="AH42" s="24"/>
      <c r="AI42" s="24"/>
      <c r="AJ42" s="24"/>
      <c r="AK42" s="35" t="s">
        <v>196</v>
      </c>
      <c r="AL42" s="28">
        <v>10032</v>
      </c>
      <c r="AM42" s="28">
        <v>10032</v>
      </c>
      <c r="AN42" s="28">
        <v>10032</v>
      </c>
      <c r="AO42" s="28">
        <v>10032</v>
      </c>
      <c r="AP42" s="28">
        <v>10032</v>
      </c>
      <c r="AQ42" s="28">
        <v>10032</v>
      </c>
      <c r="AR42" s="28">
        <v>10032</v>
      </c>
      <c r="AS42" s="28">
        <v>10032</v>
      </c>
      <c r="AT42" s="28">
        <v>10032</v>
      </c>
      <c r="AU42" s="28">
        <v>10032</v>
      </c>
      <c r="AV42" s="28">
        <v>10032</v>
      </c>
      <c r="AW42" s="28">
        <v>10032</v>
      </c>
      <c r="AX42" s="24"/>
      <c r="AY42" s="24"/>
      <c r="AZ42" s="24"/>
      <c r="BA42" s="24"/>
      <c r="BB42" s="24"/>
    </row>
    <row r="43" spans="1:54">
      <c r="A43" s="35" t="s">
        <v>197</v>
      </c>
      <c r="B43" s="17">
        <f t="shared" ref="B43:M43" si="36">B44/B42</f>
        <v>1.4000199362041468</v>
      </c>
      <c r="C43" s="17">
        <f t="shared" si="36"/>
        <v>1.4000199362041468</v>
      </c>
      <c r="D43" s="17">
        <f t="shared" si="36"/>
        <v>1.4000199362041468</v>
      </c>
      <c r="E43" s="17">
        <f t="shared" si="36"/>
        <v>1.4000199362041468</v>
      </c>
      <c r="F43" s="17">
        <f t="shared" si="36"/>
        <v>1.4000199362041468</v>
      </c>
      <c r="G43" s="17">
        <f t="shared" si="36"/>
        <v>1.4000199362041468</v>
      </c>
      <c r="H43" s="17">
        <f t="shared" si="36"/>
        <v>1.4000199362041468</v>
      </c>
      <c r="I43" s="17">
        <f t="shared" si="36"/>
        <v>1.4000199362041468</v>
      </c>
      <c r="J43" s="17">
        <f t="shared" si="36"/>
        <v>1.4000199362041468</v>
      </c>
      <c r="K43" s="17">
        <f t="shared" si="36"/>
        <v>1.4000199362041468</v>
      </c>
      <c r="L43" s="17">
        <f t="shared" si="36"/>
        <v>1.4000199362041468</v>
      </c>
      <c r="M43" s="17">
        <f t="shared" si="36"/>
        <v>1.4000199362041468</v>
      </c>
      <c r="N43" s="24"/>
      <c r="O43" s="24"/>
      <c r="P43" s="24"/>
      <c r="Q43" s="24"/>
      <c r="R43" s="24"/>
      <c r="S43" s="35" t="s">
        <v>197</v>
      </c>
      <c r="T43" s="17">
        <f t="shared" ref="T43:AE43" si="37">T44/T42</f>
        <v>1.4000199362041468</v>
      </c>
      <c r="U43" s="17">
        <f t="shared" si="37"/>
        <v>1.4000199362041468</v>
      </c>
      <c r="V43" s="17">
        <f t="shared" si="37"/>
        <v>1.4000199362041468</v>
      </c>
      <c r="W43" s="17">
        <f t="shared" si="37"/>
        <v>1.4000199362041468</v>
      </c>
      <c r="X43" s="17">
        <f t="shared" si="37"/>
        <v>1.4000199362041468</v>
      </c>
      <c r="Y43" s="17">
        <f t="shared" si="37"/>
        <v>1.4000199362041468</v>
      </c>
      <c r="Z43" s="17">
        <f t="shared" si="37"/>
        <v>1.4000199362041468</v>
      </c>
      <c r="AA43" s="17">
        <f t="shared" si="37"/>
        <v>1.4000199362041468</v>
      </c>
      <c r="AB43" s="17">
        <f t="shared" si="37"/>
        <v>1.4000199362041468</v>
      </c>
      <c r="AC43" s="17">
        <f t="shared" si="37"/>
        <v>1.4000199362041468</v>
      </c>
      <c r="AD43" s="17">
        <f t="shared" si="37"/>
        <v>1.4000199362041468</v>
      </c>
      <c r="AE43" s="17">
        <f t="shared" si="37"/>
        <v>1.4000199362041468</v>
      </c>
      <c r="AF43" s="24"/>
      <c r="AG43" s="24"/>
      <c r="AH43" s="24"/>
      <c r="AI43" s="24"/>
      <c r="AJ43" s="24"/>
      <c r="AK43" s="35" t="s">
        <v>197</v>
      </c>
      <c r="AL43" s="17">
        <f t="shared" ref="AL43:AW43" si="38">AL44/AL42</f>
        <v>1.4000199362041468</v>
      </c>
      <c r="AM43" s="17">
        <f t="shared" si="38"/>
        <v>1.4000199362041468</v>
      </c>
      <c r="AN43" s="17">
        <f t="shared" si="38"/>
        <v>1.4000199362041468</v>
      </c>
      <c r="AO43" s="17">
        <f t="shared" si="38"/>
        <v>1.4000199362041468</v>
      </c>
      <c r="AP43" s="17">
        <f t="shared" si="38"/>
        <v>1.4000199362041468</v>
      </c>
      <c r="AQ43" s="17">
        <f t="shared" si="38"/>
        <v>1.4000199362041468</v>
      </c>
      <c r="AR43" s="17">
        <f t="shared" si="38"/>
        <v>1.4000199362041468</v>
      </c>
      <c r="AS43" s="17">
        <f t="shared" si="38"/>
        <v>1.4000199362041468</v>
      </c>
      <c r="AT43" s="17">
        <f t="shared" si="38"/>
        <v>1.4000199362041468</v>
      </c>
      <c r="AU43" s="17">
        <f t="shared" si="38"/>
        <v>1.4000199362041468</v>
      </c>
      <c r="AV43" s="17">
        <f t="shared" si="38"/>
        <v>1.4000199362041468</v>
      </c>
      <c r="AW43" s="17">
        <f t="shared" si="38"/>
        <v>1.4000199362041468</v>
      </c>
      <c r="AX43" s="24"/>
      <c r="AY43" s="24"/>
      <c r="AZ43" s="24"/>
      <c r="BA43" s="24"/>
      <c r="BB43" s="24"/>
    </row>
    <row r="44" spans="1:54">
      <c r="A44" s="35" t="s">
        <v>198</v>
      </c>
      <c r="B44" s="39">
        <v>14045</v>
      </c>
      <c r="C44" s="39">
        <v>14045</v>
      </c>
      <c r="D44" s="39">
        <v>14045</v>
      </c>
      <c r="E44" s="39">
        <v>14045</v>
      </c>
      <c r="F44" s="39">
        <v>14045</v>
      </c>
      <c r="G44" s="39">
        <v>14045</v>
      </c>
      <c r="H44" s="39">
        <v>14045</v>
      </c>
      <c r="I44" s="39">
        <v>14045</v>
      </c>
      <c r="J44" s="39">
        <v>14045</v>
      </c>
      <c r="K44" s="39">
        <v>14045</v>
      </c>
      <c r="L44" s="39">
        <v>14045</v>
      </c>
      <c r="M44" s="39">
        <v>14045</v>
      </c>
      <c r="N44" s="18">
        <f>SUM(B44:M44)</f>
        <v>168540</v>
      </c>
      <c r="O44" s="24"/>
      <c r="P44" s="24"/>
      <c r="Q44" s="24"/>
      <c r="R44" s="24"/>
      <c r="S44" s="35" t="s">
        <v>198</v>
      </c>
      <c r="T44" s="39">
        <v>14045</v>
      </c>
      <c r="U44" s="39">
        <v>14045</v>
      </c>
      <c r="V44" s="39">
        <v>14045</v>
      </c>
      <c r="W44" s="39">
        <v>14045</v>
      </c>
      <c r="X44" s="39">
        <v>14045</v>
      </c>
      <c r="Y44" s="39">
        <v>14045</v>
      </c>
      <c r="Z44" s="39">
        <v>14045</v>
      </c>
      <c r="AA44" s="39">
        <v>14045</v>
      </c>
      <c r="AB44" s="39">
        <v>14045</v>
      </c>
      <c r="AC44" s="39">
        <v>14045</v>
      </c>
      <c r="AD44" s="39">
        <v>14045</v>
      </c>
      <c r="AE44" s="39">
        <v>14045</v>
      </c>
      <c r="AF44" s="18">
        <f>SUM(T44:AE44)</f>
        <v>168540</v>
      </c>
      <c r="AG44" s="24"/>
      <c r="AH44" s="24"/>
      <c r="AI44" s="24"/>
      <c r="AJ44" s="24"/>
      <c r="AK44" s="35" t="s">
        <v>198</v>
      </c>
      <c r="AL44" s="39">
        <v>14045</v>
      </c>
      <c r="AM44" s="39">
        <v>14045</v>
      </c>
      <c r="AN44" s="39">
        <v>14045</v>
      </c>
      <c r="AO44" s="39">
        <v>14045</v>
      </c>
      <c r="AP44" s="39">
        <v>14045</v>
      </c>
      <c r="AQ44" s="39">
        <v>14045</v>
      </c>
      <c r="AR44" s="39">
        <v>14045</v>
      </c>
      <c r="AS44" s="39">
        <v>14045</v>
      </c>
      <c r="AT44" s="39">
        <v>14045</v>
      </c>
      <c r="AU44" s="39">
        <v>14045</v>
      </c>
      <c r="AV44" s="39">
        <v>14045</v>
      </c>
      <c r="AW44" s="39">
        <v>14045</v>
      </c>
      <c r="AX44" s="18">
        <f>SUM(AL44:AW44)</f>
        <v>168540</v>
      </c>
      <c r="AY44" s="24"/>
      <c r="AZ44" s="24"/>
      <c r="BA44" s="24"/>
      <c r="BB44" s="24"/>
    </row>
    <row r="45" spans="1:54"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</row>
    <row r="46" spans="1:54">
      <c r="A46" s="338" t="s">
        <v>20</v>
      </c>
      <c r="B46" s="26">
        <f>SUM(B40,B44)</f>
        <v>139422.02224999998</v>
      </c>
      <c r="C46" s="26">
        <f t="shared" ref="C46:M46" si="39">SUM(C40,C44)</f>
        <v>133963.5442</v>
      </c>
      <c r="D46" s="26">
        <f t="shared" si="39"/>
        <v>130095.20599999999</v>
      </c>
      <c r="E46" s="26">
        <f t="shared" si="39"/>
        <v>133963.5442</v>
      </c>
      <c r="F46" s="26">
        <f t="shared" si="39"/>
        <v>130095.196</v>
      </c>
      <c r="G46" s="26">
        <f t="shared" si="39"/>
        <v>133963.5442</v>
      </c>
      <c r="H46" s="26">
        <f t="shared" si="39"/>
        <v>133963.5442</v>
      </c>
      <c r="I46" s="26">
        <f t="shared" si="39"/>
        <v>126226.86</v>
      </c>
      <c r="J46" s="26">
        <f t="shared" si="39"/>
        <v>133963.54</v>
      </c>
      <c r="K46" s="26">
        <f t="shared" si="39"/>
        <v>129943.1</v>
      </c>
      <c r="L46" s="26">
        <f t="shared" si="39"/>
        <v>133806.37</v>
      </c>
      <c r="M46" s="26">
        <f t="shared" si="39"/>
        <v>129943.1</v>
      </c>
      <c r="N46" s="18">
        <f>SUM(B46:M46)</f>
        <v>1589349.5710500004</v>
      </c>
      <c r="O46" s="39">
        <f>N46/12</f>
        <v>132445.79758750004</v>
      </c>
      <c r="P46" s="28">
        <f>9932</f>
        <v>9932</v>
      </c>
      <c r="Q46" s="195">
        <f>O46/P46</f>
        <v>13.335259523509871</v>
      </c>
      <c r="R46" s="195">
        <f>(Q46*1.04)/(1-0.025)</f>
        <v>14.224276825077197</v>
      </c>
      <c r="S46" s="338" t="s">
        <v>20</v>
      </c>
      <c r="T46" s="26">
        <f>SUM(T40,T44)</f>
        <v>134045</v>
      </c>
      <c r="U46" s="26">
        <f t="shared" ref="U46:AE46" si="40">SUM(U40,U44)</f>
        <v>134045</v>
      </c>
      <c r="V46" s="26">
        <f t="shared" si="40"/>
        <v>134045</v>
      </c>
      <c r="W46" s="26">
        <f t="shared" si="40"/>
        <v>134045</v>
      </c>
      <c r="X46" s="26">
        <f t="shared" si="40"/>
        <v>134045</v>
      </c>
      <c r="Y46" s="26">
        <f t="shared" si="40"/>
        <v>134045</v>
      </c>
      <c r="Z46" s="26">
        <f t="shared" si="40"/>
        <v>134045</v>
      </c>
      <c r="AA46" s="26">
        <f t="shared" si="40"/>
        <v>134045</v>
      </c>
      <c r="AB46" s="26">
        <f t="shared" si="40"/>
        <v>134045</v>
      </c>
      <c r="AC46" s="26">
        <f t="shared" si="40"/>
        <v>134045</v>
      </c>
      <c r="AD46" s="26">
        <f t="shared" si="40"/>
        <v>134045</v>
      </c>
      <c r="AE46" s="26">
        <f t="shared" si="40"/>
        <v>134045</v>
      </c>
      <c r="AF46" s="18">
        <f>SUM(T46:AE46)</f>
        <v>1608540</v>
      </c>
      <c r="AG46" s="39">
        <f>AF46/12</f>
        <v>134045</v>
      </c>
      <c r="AH46" s="28">
        <f>9932</f>
        <v>9932</v>
      </c>
      <c r="AI46" s="17">
        <f>AG46/AH46</f>
        <v>13.496274667740636</v>
      </c>
      <c r="AJ46" s="195">
        <f>(AI46*1.04)/(1-0.025)</f>
        <v>14.396026312256678</v>
      </c>
      <c r="AK46" s="338" t="s">
        <v>20</v>
      </c>
      <c r="AL46" s="26">
        <f>SUM(AL40,AL44)</f>
        <v>134045</v>
      </c>
      <c r="AM46" s="26">
        <f t="shared" ref="AM46:AW46" si="41">SUM(AM40,AM44)</f>
        <v>134045</v>
      </c>
      <c r="AN46" s="26">
        <f t="shared" si="41"/>
        <v>134045</v>
      </c>
      <c r="AO46" s="26">
        <f t="shared" si="41"/>
        <v>134045</v>
      </c>
      <c r="AP46" s="26">
        <f t="shared" si="41"/>
        <v>134045</v>
      </c>
      <c r="AQ46" s="26">
        <f t="shared" si="41"/>
        <v>134045</v>
      </c>
      <c r="AR46" s="26">
        <f t="shared" si="41"/>
        <v>134045</v>
      </c>
      <c r="AS46" s="26">
        <f t="shared" si="41"/>
        <v>134045</v>
      </c>
      <c r="AT46" s="26">
        <f t="shared" si="41"/>
        <v>134045</v>
      </c>
      <c r="AU46" s="26">
        <f t="shared" si="41"/>
        <v>134045</v>
      </c>
      <c r="AV46" s="26">
        <f t="shared" si="41"/>
        <v>134045</v>
      </c>
      <c r="AW46" s="26">
        <f t="shared" si="41"/>
        <v>134045</v>
      </c>
      <c r="AX46" s="18">
        <f>SUM(AL46:AW46)</f>
        <v>1608540</v>
      </c>
      <c r="AY46" s="39">
        <f>AX46/12</f>
        <v>134045</v>
      </c>
      <c r="AZ46" s="28">
        <f>9932</f>
        <v>9932</v>
      </c>
      <c r="BA46" s="17">
        <f>AY46/AZ46</f>
        <v>13.496274667740636</v>
      </c>
      <c r="BB46" s="195">
        <f>(BA46*1.04)/(1-0.025)</f>
        <v>14.396026312256678</v>
      </c>
    </row>
    <row r="47" spans="1:54"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</row>
    <row r="48" spans="1:54" ht="21" thickBot="1">
      <c r="A48" s="339" t="s">
        <v>391</v>
      </c>
      <c r="B48" s="40">
        <f>SUM(B26,B36,B46)</f>
        <v>1121044.9361719999</v>
      </c>
      <c r="C48" s="40">
        <f t="shared" ref="C48:M48" si="42">SUM(C26,C36,C46)</f>
        <v>1111116.9489819999</v>
      </c>
      <c r="D48" s="40">
        <f t="shared" si="42"/>
        <v>1115151.866588</v>
      </c>
      <c r="E48" s="40">
        <f t="shared" si="42"/>
        <v>1128044.8823879999</v>
      </c>
      <c r="F48" s="40">
        <f t="shared" si="42"/>
        <v>1044634.746111</v>
      </c>
      <c r="G48" s="40">
        <f t="shared" si="42"/>
        <v>1064116.3499199999</v>
      </c>
      <c r="H48" s="40">
        <f t="shared" si="42"/>
        <v>1059743.5397890001</v>
      </c>
      <c r="I48" s="40">
        <f t="shared" si="42"/>
        <v>1046168.3922</v>
      </c>
      <c r="J48" s="40">
        <f t="shared" si="42"/>
        <v>1062589.9022000001</v>
      </c>
      <c r="K48" s="40">
        <f t="shared" si="42"/>
        <v>1055732.8332</v>
      </c>
      <c r="L48" s="40">
        <f t="shared" si="42"/>
        <v>1049519.1431999998</v>
      </c>
      <c r="M48" s="40">
        <f t="shared" si="42"/>
        <v>1048164.6032</v>
      </c>
      <c r="N48" s="340">
        <f>SUM(B48:M48)</f>
        <v>12906028.14395</v>
      </c>
      <c r="O48" s="39">
        <f>N48/12</f>
        <v>1075502.3453291666</v>
      </c>
      <c r="P48" s="28">
        <f>SUM(P26,P36,P46)</f>
        <v>100965</v>
      </c>
      <c r="Q48" s="195">
        <f>O48/P48</f>
        <v>10.652229439203355</v>
      </c>
      <c r="R48" s="195">
        <f>(Q48*1.04)/(1-0.025)</f>
        <v>11.362378068483578</v>
      </c>
      <c r="S48" s="339" t="s">
        <v>391</v>
      </c>
      <c r="T48" s="40">
        <f>SUM(T26,T36,T46)</f>
        <v>1071439.2862</v>
      </c>
      <c r="U48" s="40">
        <f t="shared" ref="U48:AE48" si="43">SUM(U26,U36,U46)</f>
        <v>1071439.2862</v>
      </c>
      <c r="V48" s="40">
        <f t="shared" si="43"/>
        <v>1071439.2862</v>
      </c>
      <c r="W48" s="40">
        <f t="shared" si="43"/>
        <v>1071439.2862</v>
      </c>
      <c r="X48" s="40">
        <f t="shared" si="43"/>
        <v>1071439.2862</v>
      </c>
      <c r="Y48" s="40">
        <f t="shared" si="43"/>
        <v>1071439.2862</v>
      </c>
      <c r="Z48" s="40">
        <f t="shared" si="43"/>
        <v>1071439.2862</v>
      </c>
      <c r="AA48" s="40">
        <f t="shared" si="43"/>
        <v>1071439.2862</v>
      </c>
      <c r="AB48" s="40">
        <f t="shared" si="43"/>
        <v>1071439.2862</v>
      </c>
      <c r="AC48" s="40">
        <f t="shared" si="43"/>
        <v>1071439.2862</v>
      </c>
      <c r="AD48" s="40">
        <f t="shared" si="43"/>
        <v>1071439.2862</v>
      </c>
      <c r="AE48" s="40">
        <f t="shared" si="43"/>
        <v>1071439.2862</v>
      </c>
      <c r="AF48" s="340">
        <f>SUM(T48:AE48)</f>
        <v>12857271.4344</v>
      </c>
      <c r="AG48" s="39">
        <f>AF48/12</f>
        <v>1071439.2862</v>
      </c>
      <c r="AH48" s="28">
        <f>SUM(AH26,AH36,AH46)</f>
        <v>100965</v>
      </c>
      <c r="AI48" s="17">
        <f>AG48/AH48</f>
        <v>10.611987185658396</v>
      </c>
      <c r="AJ48" s="195">
        <f>(AI48*1.04)/(1-0.025)</f>
        <v>11.319452998035622</v>
      </c>
      <c r="AK48" s="339" t="s">
        <v>391</v>
      </c>
      <c r="AL48" s="40">
        <f t="shared" ref="AL48:AW48" si="44">SUM(AL26,AL36,AL46)</f>
        <v>1071439.2862</v>
      </c>
      <c r="AM48" s="40">
        <f t="shared" si="44"/>
        <v>1071439.2862</v>
      </c>
      <c r="AN48" s="40">
        <f t="shared" si="44"/>
        <v>1071439.2862</v>
      </c>
      <c r="AO48" s="40">
        <f t="shared" si="44"/>
        <v>1071439.2862</v>
      </c>
      <c r="AP48" s="40">
        <f t="shared" si="44"/>
        <v>1071439.2862</v>
      </c>
      <c r="AQ48" s="40">
        <f t="shared" si="44"/>
        <v>1071439.2862</v>
      </c>
      <c r="AR48" s="40">
        <f t="shared" si="44"/>
        <v>1071439.2862</v>
      </c>
      <c r="AS48" s="40">
        <f t="shared" si="44"/>
        <v>1071439.2862</v>
      </c>
      <c r="AT48" s="40">
        <f t="shared" si="44"/>
        <v>1071439.2862</v>
      </c>
      <c r="AU48" s="40">
        <f t="shared" si="44"/>
        <v>1071439.2862</v>
      </c>
      <c r="AV48" s="40">
        <f t="shared" si="44"/>
        <v>1071439.2862</v>
      </c>
      <c r="AW48" s="40">
        <f t="shared" si="44"/>
        <v>1071439.2862</v>
      </c>
      <c r="AX48" s="340">
        <f>SUM(AL48:AW48)</f>
        <v>12857271.4344</v>
      </c>
      <c r="AY48" s="39">
        <f>AX48/12</f>
        <v>1071439.2862</v>
      </c>
      <c r="AZ48" s="28">
        <f>SUM(AZ26,AZ36,AZ46)</f>
        <v>100965</v>
      </c>
      <c r="BA48" s="17">
        <f>AY48/AZ48</f>
        <v>10.611987185658396</v>
      </c>
      <c r="BB48" s="195">
        <f>(BA48*1.04)/(1-0.025)</f>
        <v>11.319452998035622</v>
      </c>
    </row>
    <row r="49" spans="1:54" ht="21" thickTop="1">
      <c r="A49" s="3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24"/>
      <c r="P49" s="24" t="s">
        <v>355</v>
      </c>
      <c r="Q49" s="17">
        <f>Q48*12/365</f>
        <v>0.35021028293271306</v>
      </c>
      <c r="R49" s="17">
        <f>R48*12/365</f>
        <v>0.37355763512822721</v>
      </c>
      <c r="S49" s="3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24"/>
      <c r="AH49" s="24"/>
      <c r="AI49" s="24"/>
      <c r="AJ49" s="24"/>
      <c r="AK49" s="3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24"/>
      <c r="AZ49" s="24"/>
      <c r="BA49" s="24"/>
      <c r="BB49" s="24"/>
    </row>
    <row r="50" spans="1:54">
      <c r="B50" s="14">
        <v>40725</v>
      </c>
      <c r="C50" s="14">
        <v>40756</v>
      </c>
      <c r="D50" s="14">
        <v>40787</v>
      </c>
      <c r="E50" s="14">
        <v>40817</v>
      </c>
      <c r="F50" s="14">
        <v>40848</v>
      </c>
      <c r="G50" s="14">
        <v>40878</v>
      </c>
      <c r="H50" s="14">
        <v>40909</v>
      </c>
      <c r="I50" s="14">
        <v>40940</v>
      </c>
      <c r="J50" s="14">
        <v>40969</v>
      </c>
      <c r="K50" s="14">
        <v>41000</v>
      </c>
      <c r="L50" s="14">
        <v>41030</v>
      </c>
      <c r="M50" s="14">
        <v>41061</v>
      </c>
      <c r="N50" s="13" t="s">
        <v>857</v>
      </c>
      <c r="O50" s="24" t="s">
        <v>734</v>
      </c>
      <c r="P50" s="24" t="s">
        <v>356</v>
      </c>
      <c r="Q50" s="17">
        <f>Q49/0.7</f>
        <v>0.5003004041895901</v>
      </c>
      <c r="R50" s="17">
        <f>R49/0.7</f>
        <v>0.53365376446889601</v>
      </c>
      <c r="T50" s="14">
        <v>41091</v>
      </c>
      <c r="U50" s="14">
        <v>41122</v>
      </c>
      <c r="V50" s="14">
        <v>41153</v>
      </c>
      <c r="W50" s="14">
        <v>41183</v>
      </c>
      <c r="X50" s="14">
        <v>41214</v>
      </c>
      <c r="Y50" s="14">
        <v>41244</v>
      </c>
      <c r="Z50" s="14">
        <v>41275</v>
      </c>
      <c r="AA50" s="14">
        <v>41306</v>
      </c>
      <c r="AB50" s="14">
        <v>41334</v>
      </c>
      <c r="AC50" s="14">
        <v>41365</v>
      </c>
      <c r="AD50" s="14">
        <v>41395</v>
      </c>
      <c r="AE50" s="14">
        <v>41426</v>
      </c>
      <c r="AF50" s="13" t="s">
        <v>857</v>
      </c>
      <c r="AG50" s="24"/>
      <c r="AH50" s="24"/>
      <c r="AI50" s="24"/>
      <c r="AJ50" s="24"/>
      <c r="AL50" s="14">
        <v>41456</v>
      </c>
      <c r="AM50" s="14">
        <v>41487</v>
      </c>
      <c r="AN50" s="14">
        <v>41518</v>
      </c>
      <c r="AO50" s="14">
        <v>41548</v>
      </c>
      <c r="AP50" s="14">
        <v>41579</v>
      </c>
      <c r="AQ50" s="14">
        <v>41609</v>
      </c>
      <c r="AR50" s="14">
        <v>41640</v>
      </c>
      <c r="AS50" s="14">
        <v>41671</v>
      </c>
      <c r="AT50" s="14">
        <v>41699</v>
      </c>
      <c r="AU50" s="14">
        <v>41730</v>
      </c>
      <c r="AV50" s="14">
        <v>41760</v>
      </c>
      <c r="AW50" s="14">
        <v>41791</v>
      </c>
      <c r="AX50" s="13" t="s">
        <v>906</v>
      </c>
      <c r="AY50" s="24"/>
      <c r="AZ50" s="24"/>
      <c r="BA50" s="24"/>
      <c r="BB50" s="24"/>
    </row>
    <row r="51" spans="1:54">
      <c r="A51" s="337" t="s">
        <v>392</v>
      </c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 t="s">
        <v>100</v>
      </c>
      <c r="P51" s="24" t="s">
        <v>357</v>
      </c>
      <c r="Q51" s="17">
        <f>Q49/0.5</f>
        <v>0.70042056586542611</v>
      </c>
      <c r="R51" s="17">
        <f>R49/0.5</f>
        <v>0.74711527025645441</v>
      </c>
      <c r="S51" s="337" t="s">
        <v>21</v>
      </c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337" t="s">
        <v>21</v>
      </c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</row>
    <row r="52" spans="1:54">
      <c r="A52" s="35" t="s">
        <v>173</v>
      </c>
      <c r="B52" s="28"/>
      <c r="C52" s="28"/>
      <c r="D52" s="28"/>
      <c r="E52" s="28"/>
      <c r="F52" s="28">
        <v>10946</v>
      </c>
      <c r="G52" s="28">
        <v>10946</v>
      </c>
      <c r="H52" s="28">
        <v>10946</v>
      </c>
      <c r="I52" s="28">
        <v>10946</v>
      </c>
      <c r="J52" s="28">
        <v>10946</v>
      </c>
      <c r="K52" s="28"/>
      <c r="L52" s="28"/>
      <c r="M52" s="28"/>
      <c r="N52" s="24"/>
      <c r="O52" s="24" t="s">
        <v>358</v>
      </c>
      <c r="P52" s="24" t="s">
        <v>359</v>
      </c>
      <c r="Q52" s="17">
        <f>Q49/0.4</f>
        <v>0.87552570733178259</v>
      </c>
      <c r="R52" s="17">
        <f>R49/0.4</f>
        <v>0.93389408782056793</v>
      </c>
      <c r="S52" s="35" t="s">
        <v>173</v>
      </c>
      <c r="T52" s="28"/>
      <c r="U52" s="28"/>
      <c r="V52" s="28"/>
      <c r="W52" s="28"/>
      <c r="X52" s="28">
        <v>10946</v>
      </c>
      <c r="Y52" s="28">
        <v>10946</v>
      </c>
      <c r="Z52" s="28">
        <v>10946</v>
      </c>
      <c r="AA52" s="28">
        <v>10946</v>
      </c>
      <c r="AB52" s="28">
        <v>10946</v>
      </c>
      <c r="AC52" s="28"/>
      <c r="AD52" s="28"/>
      <c r="AE52" s="28"/>
      <c r="AF52" s="24"/>
      <c r="AG52" s="24"/>
      <c r="AH52" s="24"/>
      <c r="AI52" s="24"/>
      <c r="AJ52" s="24"/>
      <c r="AK52" s="35" t="s">
        <v>173</v>
      </c>
      <c r="AL52" s="28"/>
      <c r="AM52" s="28"/>
      <c r="AN52" s="28"/>
      <c r="AO52" s="28"/>
      <c r="AP52" s="28">
        <v>10946</v>
      </c>
      <c r="AQ52" s="28">
        <v>10946</v>
      </c>
      <c r="AR52" s="28">
        <v>10946</v>
      </c>
      <c r="AS52" s="28">
        <v>10946</v>
      </c>
      <c r="AT52" s="28">
        <v>10946</v>
      </c>
      <c r="AU52" s="28"/>
      <c r="AV52" s="28"/>
      <c r="AW52" s="28"/>
      <c r="AX52" s="24"/>
      <c r="AY52" s="24"/>
      <c r="AZ52" s="24"/>
      <c r="BA52" s="24"/>
      <c r="BB52" s="24"/>
    </row>
    <row r="53" spans="1:54">
      <c r="A53" s="35" t="s">
        <v>174</v>
      </c>
      <c r="B53" s="21"/>
      <c r="C53" s="21"/>
      <c r="D53" s="21"/>
      <c r="E53" s="21"/>
      <c r="F53" s="415">
        <v>4.3040000000000003</v>
      </c>
      <c r="G53" s="415">
        <v>4.3040000000000003</v>
      </c>
      <c r="H53" s="415">
        <v>4.3040000000000003</v>
      </c>
      <c r="I53" s="415">
        <v>4.3040000000000003</v>
      </c>
      <c r="J53" s="415">
        <v>4.3040000000000003</v>
      </c>
      <c r="K53" s="21"/>
      <c r="L53" s="21"/>
      <c r="M53" s="21"/>
      <c r="N53" s="24"/>
      <c r="O53" s="24"/>
      <c r="P53" s="24"/>
      <c r="Q53" s="24"/>
      <c r="R53" s="24"/>
      <c r="S53" s="35" t="s">
        <v>174</v>
      </c>
      <c r="T53" s="21"/>
      <c r="U53" s="21"/>
      <c r="V53" s="21"/>
      <c r="W53" s="21"/>
      <c r="X53" s="21">
        <v>4.3499999999999996</v>
      </c>
      <c r="Y53" s="21">
        <v>4.3499999999999996</v>
      </c>
      <c r="Z53" s="21">
        <v>4.3499999999999996</v>
      </c>
      <c r="AA53" s="21">
        <v>4.3499999999999996</v>
      </c>
      <c r="AB53" s="21">
        <v>4.3499999999999996</v>
      </c>
      <c r="AC53" s="21"/>
      <c r="AD53" s="21"/>
      <c r="AE53" s="21"/>
      <c r="AF53" s="24"/>
      <c r="AG53" s="24"/>
      <c r="AH53" s="24"/>
      <c r="AI53" s="24"/>
      <c r="AJ53" s="24"/>
      <c r="AK53" s="35" t="s">
        <v>174</v>
      </c>
      <c r="AL53" s="21"/>
      <c r="AM53" s="21"/>
      <c r="AN53" s="21"/>
      <c r="AO53" s="21"/>
      <c r="AP53" s="21">
        <v>4.3499999999999996</v>
      </c>
      <c r="AQ53" s="21">
        <v>4.3499999999999996</v>
      </c>
      <c r="AR53" s="21">
        <v>4.3499999999999996</v>
      </c>
      <c r="AS53" s="21">
        <v>4.3499999999999996</v>
      </c>
      <c r="AT53" s="21">
        <v>4.3499999999999996</v>
      </c>
      <c r="AU53" s="21"/>
      <c r="AV53" s="21"/>
      <c r="AW53" s="21"/>
      <c r="AX53" s="24"/>
      <c r="AY53" s="24"/>
      <c r="AZ53" s="24"/>
      <c r="BA53" s="24"/>
      <c r="BB53" s="24"/>
    </row>
    <row r="54" spans="1:54">
      <c r="A54" s="35" t="s">
        <v>175</v>
      </c>
      <c r="B54" s="26"/>
      <c r="C54" s="26"/>
      <c r="D54" s="26"/>
      <c r="E54" s="26"/>
      <c r="F54" s="26">
        <f>+F52*F53</f>
        <v>47111.584000000003</v>
      </c>
      <c r="G54" s="26">
        <f>+G52*G53</f>
        <v>47111.584000000003</v>
      </c>
      <c r="H54" s="26">
        <f>+H52*H53</f>
        <v>47111.584000000003</v>
      </c>
      <c r="I54" s="26">
        <f>+I52*I53</f>
        <v>47111.584000000003</v>
      </c>
      <c r="J54" s="26">
        <f>+J52*J53</f>
        <v>47111.584000000003</v>
      </c>
      <c r="K54" s="26"/>
      <c r="L54" s="26"/>
      <c r="M54" s="26"/>
      <c r="N54" s="26">
        <f>SUM(B54:M54)</f>
        <v>235557.92</v>
      </c>
      <c r="O54" s="24"/>
      <c r="P54" s="24"/>
      <c r="Q54" s="24"/>
      <c r="R54" s="24"/>
      <c r="S54" s="35" t="s">
        <v>175</v>
      </c>
      <c r="T54" s="26"/>
      <c r="U54" s="26"/>
      <c r="V54" s="26"/>
      <c r="W54" s="26"/>
      <c r="X54" s="26">
        <f>+X52*X53</f>
        <v>47615.1</v>
      </c>
      <c r="Y54" s="26">
        <f>+Y52*Y53</f>
        <v>47615.1</v>
      </c>
      <c r="Z54" s="26">
        <f>+Z52*Z53</f>
        <v>47615.1</v>
      </c>
      <c r="AA54" s="26">
        <f>+AA52*AA53</f>
        <v>47615.1</v>
      </c>
      <c r="AB54" s="26">
        <f>+AB52*AB53</f>
        <v>47615.1</v>
      </c>
      <c r="AC54" s="26"/>
      <c r="AD54" s="26"/>
      <c r="AE54" s="26"/>
      <c r="AF54" s="26">
        <f>SUM(T54:AE54)</f>
        <v>238075.5</v>
      </c>
      <c r="AG54" s="24"/>
      <c r="AH54" s="24"/>
      <c r="AI54" s="24"/>
      <c r="AJ54" s="24"/>
      <c r="AK54" s="35" t="s">
        <v>175</v>
      </c>
      <c r="AL54" s="26"/>
      <c r="AM54" s="26"/>
      <c r="AN54" s="26"/>
      <c r="AO54" s="26"/>
      <c r="AP54" s="26">
        <f>+AP52*AP53</f>
        <v>47615.1</v>
      </c>
      <c r="AQ54" s="26">
        <f>+AQ52*AQ53</f>
        <v>47615.1</v>
      </c>
      <c r="AR54" s="26">
        <f>+AR52*AR53</f>
        <v>47615.1</v>
      </c>
      <c r="AS54" s="26">
        <f>+AS52*AS53</f>
        <v>47615.1</v>
      </c>
      <c r="AT54" s="26">
        <f>+AT52*AT53</f>
        <v>47615.1</v>
      </c>
      <c r="AU54" s="26"/>
      <c r="AV54" s="26"/>
      <c r="AW54" s="26"/>
      <c r="AX54" s="26">
        <f>SUM(AL54:AW54)</f>
        <v>238075.5</v>
      </c>
      <c r="AY54" s="24"/>
      <c r="AZ54" s="24"/>
      <c r="BA54" s="24"/>
      <c r="BB54" s="24"/>
    </row>
    <row r="55" spans="1:54">
      <c r="A55" s="35"/>
      <c r="D55" s="24"/>
      <c r="E55" s="28"/>
      <c r="F55" s="28"/>
      <c r="G55" s="28"/>
      <c r="H55" s="28"/>
      <c r="I55" s="28"/>
      <c r="J55" s="28"/>
      <c r="K55" s="28"/>
      <c r="L55" s="28"/>
      <c r="M55" s="28"/>
      <c r="N55" s="24"/>
      <c r="O55" s="24"/>
      <c r="P55" s="24"/>
      <c r="Q55" s="24"/>
      <c r="R55" s="24"/>
      <c r="S55" s="35"/>
      <c r="T55" s="24"/>
      <c r="U55" s="24"/>
      <c r="V55" s="24"/>
      <c r="W55" s="28"/>
      <c r="X55" s="28"/>
      <c r="Y55" s="28"/>
      <c r="Z55" s="28"/>
      <c r="AA55" s="28"/>
      <c r="AB55" s="28"/>
      <c r="AC55" s="28"/>
      <c r="AD55" s="28"/>
      <c r="AE55" s="28"/>
      <c r="AF55" s="24"/>
      <c r="AG55" s="24"/>
      <c r="AH55" s="24"/>
      <c r="AI55" s="24"/>
      <c r="AJ55" s="24"/>
      <c r="AK55" s="35"/>
      <c r="AL55" s="24"/>
      <c r="AM55" s="24"/>
      <c r="AN55" s="24"/>
      <c r="AO55" s="28"/>
      <c r="AP55" s="28"/>
      <c r="AQ55" s="28"/>
      <c r="AR55" s="28"/>
      <c r="AS55" s="28"/>
      <c r="AT55" s="28"/>
      <c r="AU55" s="28"/>
      <c r="AV55" s="28"/>
      <c r="AW55" s="28"/>
      <c r="AX55" s="24"/>
      <c r="AY55" s="24"/>
      <c r="AZ55" s="24"/>
      <c r="BA55" s="24"/>
      <c r="BB55" s="24"/>
    </row>
    <row r="56" spans="1:54">
      <c r="A56" s="35" t="s">
        <v>176</v>
      </c>
      <c r="B56" s="28">
        <v>10000</v>
      </c>
      <c r="C56" s="28">
        <v>10000</v>
      </c>
      <c r="D56" s="28">
        <v>10000</v>
      </c>
      <c r="E56" s="28">
        <v>10000</v>
      </c>
      <c r="F56" s="28">
        <v>10000</v>
      </c>
      <c r="G56" s="28">
        <v>10000</v>
      </c>
      <c r="H56" s="28">
        <v>10000</v>
      </c>
      <c r="I56" s="28">
        <v>10000</v>
      </c>
      <c r="J56" s="28">
        <v>10000</v>
      </c>
      <c r="K56" s="28">
        <v>10000</v>
      </c>
      <c r="L56" s="28">
        <v>10000</v>
      </c>
      <c r="M56" s="28">
        <v>10000</v>
      </c>
      <c r="N56" s="24"/>
      <c r="O56" s="24"/>
      <c r="P56" s="24"/>
      <c r="Q56" s="24"/>
      <c r="R56" s="24"/>
      <c r="S56" s="35" t="s">
        <v>176</v>
      </c>
      <c r="T56" s="28">
        <v>10000</v>
      </c>
      <c r="U56" s="28">
        <v>10000</v>
      </c>
      <c r="V56" s="28">
        <v>10000</v>
      </c>
      <c r="W56" s="28">
        <v>10000</v>
      </c>
      <c r="X56" s="28">
        <v>10000</v>
      </c>
      <c r="Y56" s="28">
        <v>10000</v>
      </c>
      <c r="Z56" s="28">
        <v>10000</v>
      </c>
      <c r="AA56" s="28">
        <v>10000</v>
      </c>
      <c r="AB56" s="28">
        <v>10000</v>
      </c>
      <c r="AC56" s="28">
        <v>10000</v>
      </c>
      <c r="AD56" s="28">
        <v>10000</v>
      </c>
      <c r="AE56" s="28">
        <v>10000</v>
      </c>
      <c r="AF56" s="24"/>
      <c r="AG56" s="24"/>
      <c r="AH56" s="24"/>
      <c r="AI56" s="24"/>
      <c r="AJ56" s="24"/>
      <c r="AK56" s="35" t="s">
        <v>176</v>
      </c>
      <c r="AL56" s="28">
        <v>10000</v>
      </c>
      <c r="AM56" s="28">
        <v>10000</v>
      </c>
      <c r="AN56" s="28">
        <v>10000</v>
      </c>
      <c r="AO56" s="28">
        <v>10000</v>
      </c>
      <c r="AP56" s="28">
        <v>10000</v>
      </c>
      <c r="AQ56" s="28">
        <v>10000</v>
      </c>
      <c r="AR56" s="28">
        <v>10000</v>
      </c>
      <c r="AS56" s="28">
        <v>10000</v>
      </c>
      <c r="AT56" s="28">
        <v>10000</v>
      </c>
      <c r="AU56" s="28">
        <v>10000</v>
      </c>
      <c r="AV56" s="28">
        <v>10000</v>
      </c>
      <c r="AW56" s="28">
        <v>10000</v>
      </c>
      <c r="AX56" s="24"/>
      <c r="AY56" s="24"/>
      <c r="AZ56" s="24"/>
      <c r="BA56" s="24"/>
      <c r="BB56" s="24"/>
    </row>
    <row r="57" spans="1:54">
      <c r="A57" s="35" t="s">
        <v>177</v>
      </c>
      <c r="B57" s="410">
        <v>4.3075000000000001</v>
      </c>
      <c r="C57" s="410">
        <v>4.3075000000000001</v>
      </c>
      <c r="D57" s="410">
        <v>4.3075000000000001</v>
      </c>
      <c r="E57" s="410">
        <v>4.3075000000000001</v>
      </c>
      <c r="F57" s="415">
        <v>4.3040000000000003</v>
      </c>
      <c r="G57" s="415">
        <v>4.3040000000000003</v>
      </c>
      <c r="H57" s="415">
        <v>4.3040000000000003</v>
      </c>
      <c r="I57" s="415">
        <v>4.3040000000000003</v>
      </c>
      <c r="J57" s="415">
        <v>4.3040000000000003</v>
      </c>
      <c r="K57" s="415">
        <v>4.3040000000000003</v>
      </c>
      <c r="L57" s="415">
        <v>4.3040000000000003</v>
      </c>
      <c r="M57" s="415">
        <v>4.3040000000000003</v>
      </c>
      <c r="N57" s="24"/>
      <c r="O57" s="24"/>
      <c r="P57" s="24"/>
      <c r="Q57" s="24"/>
      <c r="R57" s="24"/>
      <c r="S57" s="35" t="s">
        <v>177</v>
      </c>
      <c r="T57" s="17">
        <v>4.3499999999999996</v>
      </c>
      <c r="U57" s="17">
        <v>4.3499999999999996</v>
      </c>
      <c r="V57" s="17">
        <v>4.3499999999999996</v>
      </c>
      <c r="W57" s="17">
        <v>4.3499999999999996</v>
      </c>
      <c r="X57" s="17">
        <v>4.3499999999999996</v>
      </c>
      <c r="Y57" s="17">
        <v>4.3499999999999996</v>
      </c>
      <c r="Z57" s="17">
        <v>4.3499999999999996</v>
      </c>
      <c r="AA57" s="17">
        <v>4.3499999999999996</v>
      </c>
      <c r="AB57" s="17">
        <v>4.3499999999999996</v>
      </c>
      <c r="AC57" s="17">
        <v>4.3499999999999996</v>
      </c>
      <c r="AD57" s="17">
        <v>4.3499999999999996</v>
      </c>
      <c r="AE57" s="17">
        <v>4.3499999999999996</v>
      </c>
      <c r="AF57" s="24"/>
      <c r="AG57" s="24"/>
      <c r="AH57" s="24"/>
      <c r="AI57" s="24"/>
      <c r="AJ57" s="24"/>
      <c r="AK57" s="35" t="s">
        <v>177</v>
      </c>
      <c r="AL57" s="17">
        <v>4.3499999999999996</v>
      </c>
      <c r="AM57" s="17">
        <v>4.3499999999999996</v>
      </c>
      <c r="AN57" s="17">
        <v>4.3499999999999996</v>
      </c>
      <c r="AO57" s="17">
        <v>4.3499999999999996</v>
      </c>
      <c r="AP57" s="17">
        <v>4.3499999999999996</v>
      </c>
      <c r="AQ57" s="17">
        <v>4.3499999999999996</v>
      </c>
      <c r="AR57" s="17">
        <v>4.3499999999999996</v>
      </c>
      <c r="AS57" s="17">
        <v>4.3499999999999996</v>
      </c>
      <c r="AT57" s="17">
        <v>4.3499999999999996</v>
      </c>
      <c r="AU57" s="17">
        <v>4.3499999999999996</v>
      </c>
      <c r="AV57" s="17">
        <v>4.3499999999999996</v>
      </c>
      <c r="AW57" s="17">
        <v>4.3499999999999996</v>
      </c>
      <c r="AX57" s="24"/>
      <c r="AY57" s="24"/>
      <c r="AZ57" s="24"/>
      <c r="BA57" s="24"/>
      <c r="BB57" s="24"/>
    </row>
    <row r="58" spans="1:54">
      <c r="A58" s="35" t="s">
        <v>178</v>
      </c>
      <c r="B58" s="39">
        <f t="shared" ref="B58:M58" si="45">B56*B57</f>
        <v>43075</v>
      </c>
      <c r="C58" s="39">
        <f t="shared" si="45"/>
        <v>43075</v>
      </c>
      <c r="D58" s="39">
        <f t="shared" si="45"/>
        <v>43075</v>
      </c>
      <c r="E58" s="39">
        <f t="shared" si="45"/>
        <v>43075</v>
      </c>
      <c r="F58" s="39">
        <f t="shared" si="45"/>
        <v>43040</v>
      </c>
      <c r="G58" s="39">
        <f t="shared" si="45"/>
        <v>43040</v>
      </c>
      <c r="H58" s="39">
        <f t="shared" si="45"/>
        <v>43040</v>
      </c>
      <c r="I58" s="39">
        <f t="shared" si="45"/>
        <v>43040</v>
      </c>
      <c r="J58" s="39">
        <f t="shared" si="45"/>
        <v>43040</v>
      </c>
      <c r="K58" s="39">
        <f t="shared" si="45"/>
        <v>43040</v>
      </c>
      <c r="L58" s="39">
        <f t="shared" si="45"/>
        <v>43040</v>
      </c>
      <c r="M58" s="39">
        <f t="shared" si="45"/>
        <v>43040</v>
      </c>
      <c r="N58" s="26">
        <f>SUM(B58:M58)</f>
        <v>516620</v>
      </c>
      <c r="O58" s="24"/>
      <c r="P58" s="24"/>
      <c r="Q58" s="24"/>
      <c r="R58" s="24"/>
      <c r="S58" s="35" t="s">
        <v>178</v>
      </c>
      <c r="T58" s="39">
        <f t="shared" ref="T58:AE58" si="46">T56*T57</f>
        <v>43500</v>
      </c>
      <c r="U58" s="39">
        <f t="shared" si="46"/>
        <v>43500</v>
      </c>
      <c r="V58" s="39">
        <f t="shared" si="46"/>
        <v>43500</v>
      </c>
      <c r="W58" s="39">
        <f t="shared" si="46"/>
        <v>43500</v>
      </c>
      <c r="X58" s="39">
        <f t="shared" si="46"/>
        <v>43500</v>
      </c>
      <c r="Y58" s="39">
        <f t="shared" si="46"/>
        <v>43500</v>
      </c>
      <c r="Z58" s="39">
        <f t="shared" si="46"/>
        <v>43500</v>
      </c>
      <c r="AA58" s="39">
        <f t="shared" si="46"/>
        <v>43500</v>
      </c>
      <c r="AB58" s="39">
        <f t="shared" si="46"/>
        <v>43500</v>
      </c>
      <c r="AC58" s="39">
        <f t="shared" si="46"/>
        <v>43500</v>
      </c>
      <c r="AD58" s="39">
        <f t="shared" si="46"/>
        <v>43500</v>
      </c>
      <c r="AE58" s="39">
        <f t="shared" si="46"/>
        <v>43500</v>
      </c>
      <c r="AF58" s="26">
        <f>SUM(T58:AE58)</f>
        <v>522000</v>
      </c>
      <c r="AG58" s="24"/>
      <c r="AH58" s="24"/>
      <c r="AI58" s="24"/>
      <c r="AJ58" s="24"/>
      <c r="AK58" s="35" t="s">
        <v>178</v>
      </c>
      <c r="AL58" s="39">
        <f t="shared" ref="AL58:AW58" si="47">AL56*AL57</f>
        <v>43500</v>
      </c>
      <c r="AM58" s="39">
        <f t="shared" si="47"/>
        <v>43500</v>
      </c>
      <c r="AN58" s="39">
        <f t="shared" si="47"/>
        <v>43500</v>
      </c>
      <c r="AO58" s="39">
        <f t="shared" si="47"/>
        <v>43500</v>
      </c>
      <c r="AP58" s="39">
        <f t="shared" si="47"/>
        <v>43500</v>
      </c>
      <c r="AQ58" s="39">
        <f t="shared" si="47"/>
        <v>43500</v>
      </c>
      <c r="AR58" s="39">
        <f t="shared" si="47"/>
        <v>43500</v>
      </c>
      <c r="AS58" s="39">
        <f t="shared" si="47"/>
        <v>43500</v>
      </c>
      <c r="AT58" s="39">
        <f t="shared" si="47"/>
        <v>43500</v>
      </c>
      <c r="AU58" s="39">
        <f t="shared" si="47"/>
        <v>43500</v>
      </c>
      <c r="AV58" s="39">
        <f t="shared" si="47"/>
        <v>43500</v>
      </c>
      <c r="AW58" s="39">
        <f t="shared" si="47"/>
        <v>43500</v>
      </c>
      <c r="AX58" s="26">
        <f>SUM(AL58:AW58)</f>
        <v>522000</v>
      </c>
      <c r="AY58" s="24"/>
      <c r="AZ58" s="24"/>
      <c r="BA58" s="24"/>
      <c r="BB58" s="24"/>
    </row>
    <row r="59" spans="1:54">
      <c r="A59" s="35"/>
      <c r="D59" s="24"/>
      <c r="E59" s="28"/>
      <c r="F59" s="28"/>
      <c r="G59" s="28"/>
      <c r="H59" s="28"/>
      <c r="I59" s="28"/>
      <c r="J59" s="28"/>
      <c r="K59" s="28"/>
      <c r="L59" s="28"/>
      <c r="M59" s="28"/>
      <c r="N59" s="24"/>
      <c r="O59" s="24"/>
      <c r="P59" s="24"/>
      <c r="Q59" s="24"/>
      <c r="R59" s="24"/>
      <c r="S59" s="35"/>
      <c r="T59" s="24"/>
      <c r="U59" s="24"/>
      <c r="V59" s="24"/>
      <c r="W59" s="28"/>
      <c r="X59" s="28"/>
      <c r="Y59" s="28"/>
      <c r="Z59" s="28"/>
      <c r="AA59" s="28"/>
      <c r="AB59" s="28"/>
      <c r="AC59" s="28"/>
      <c r="AD59" s="28"/>
      <c r="AE59" s="28"/>
      <c r="AF59" s="24"/>
      <c r="AG59" s="24"/>
      <c r="AH59" s="24"/>
      <c r="AI59" s="24"/>
      <c r="AJ59" s="24"/>
      <c r="AK59" s="35"/>
      <c r="AL59" s="24"/>
      <c r="AM59" s="24"/>
      <c r="AN59" s="24"/>
      <c r="AO59" s="28"/>
      <c r="AP59" s="28"/>
      <c r="AQ59" s="28"/>
      <c r="AR59" s="28"/>
      <c r="AS59" s="28"/>
      <c r="AT59" s="28"/>
      <c r="AU59" s="28"/>
      <c r="AV59" s="28"/>
      <c r="AW59" s="28"/>
      <c r="AX59" s="24"/>
      <c r="AY59" s="24"/>
      <c r="AZ59" s="24"/>
      <c r="BA59" s="24"/>
      <c r="BB59" s="24"/>
    </row>
    <row r="60" spans="1:54">
      <c r="A60" s="35" t="s">
        <v>183</v>
      </c>
      <c r="B60" s="28">
        <v>10000</v>
      </c>
      <c r="C60" s="28">
        <v>10000</v>
      </c>
      <c r="D60" s="28">
        <v>10000</v>
      </c>
      <c r="E60" s="28">
        <v>10000</v>
      </c>
      <c r="F60" s="28">
        <v>10000</v>
      </c>
      <c r="G60" s="28">
        <v>10000</v>
      </c>
      <c r="H60" s="28">
        <v>10000</v>
      </c>
      <c r="I60" s="28">
        <v>10000</v>
      </c>
      <c r="J60" s="28">
        <v>10000</v>
      </c>
      <c r="K60" s="28">
        <v>10000</v>
      </c>
      <c r="L60" s="28">
        <v>10000</v>
      </c>
      <c r="M60" s="28">
        <v>10000</v>
      </c>
      <c r="N60" s="24"/>
      <c r="O60" s="24"/>
      <c r="P60" s="24"/>
      <c r="Q60" s="24"/>
      <c r="R60" s="24"/>
      <c r="S60" s="35" t="s">
        <v>183</v>
      </c>
      <c r="T60" s="28">
        <v>10000</v>
      </c>
      <c r="U60" s="28">
        <v>10000</v>
      </c>
      <c r="V60" s="28">
        <v>10000</v>
      </c>
      <c r="W60" s="28">
        <v>10000</v>
      </c>
      <c r="X60" s="28">
        <v>10000</v>
      </c>
      <c r="Y60" s="28">
        <v>10000</v>
      </c>
      <c r="Z60" s="28">
        <v>10000</v>
      </c>
      <c r="AA60" s="28">
        <v>10000</v>
      </c>
      <c r="AB60" s="28">
        <v>10000</v>
      </c>
      <c r="AC60" s="28">
        <v>10000</v>
      </c>
      <c r="AD60" s="28">
        <v>10000</v>
      </c>
      <c r="AE60" s="28">
        <v>10000</v>
      </c>
      <c r="AF60" s="24"/>
      <c r="AG60" s="24"/>
      <c r="AH60" s="24"/>
      <c r="AI60" s="24"/>
      <c r="AJ60" s="24"/>
      <c r="AK60" s="35" t="s">
        <v>183</v>
      </c>
      <c r="AL60" s="28">
        <v>10000</v>
      </c>
      <c r="AM60" s="28">
        <v>10000</v>
      </c>
      <c r="AN60" s="28">
        <v>10000</v>
      </c>
      <c r="AO60" s="28">
        <v>10000</v>
      </c>
      <c r="AP60" s="28">
        <v>10000</v>
      </c>
      <c r="AQ60" s="28">
        <v>10000</v>
      </c>
      <c r="AR60" s="28">
        <v>10000</v>
      </c>
      <c r="AS60" s="28">
        <v>10000</v>
      </c>
      <c r="AT60" s="28">
        <v>10000</v>
      </c>
      <c r="AU60" s="28">
        <v>10000</v>
      </c>
      <c r="AV60" s="28">
        <v>10000</v>
      </c>
      <c r="AW60" s="28">
        <v>10000</v>
      </c>
      <c r="AX60" s="24"/>
      <c r="AY60" s="24"/>
      <c r="AZ60" s="24"/>
      <c r="BA60" s="24"/>
      <c r="BB60" s="24"/>
    </row>
    <row r="61" spans="1:54">
      <c r="A61" s="35" t="s">
        <v>184</v>
      </c>
      <c r="B61" s="414">
        <v>10.182499999999999</v>
      </c>
      <c r="C61" s="414">
        <v>10.182499999999999</v>
      </c>
      <c r="D61" s="414">
        <v>10.182499999999999</v>
      </c>
      <c r="E61" s="414">
        <v>10.182499999999999</v>
      </c>
      <c r="F61" s="414">
        <v>10.179</v>
      </c>
      <c r="G61" s="414">
        <v>10.179</v>
      </c>
      <c r="H61" s="414">
        <v>10.179</v>
      </c>
      <c r="I61" s="414">
        <v>10.179</v>
      </c>
      <c r="J61" s="414">
        <v>10.179</v>
      </c>
      <c r="K61" s="414">
        <v>10.179</v>
      </c>
      <c r="L61" s="414">
        <v>10.179</v>
      </c>
      <c r="M61" s="414">
        <v>10.179</v>
      </c>
      <c r="N61" s="24"/>
      <c r="O61" s="24"/>
      <c r="P61" s="24"/>
      <c r="Q61" s="24"/>
      <c r="R61" s="24"/>
      <c r="S61" s="35" t="s">
        <v>184</v>
      </c>
      <c r="T61" s="23">
        <v>10.25</v>
      </c>
      <c r="U61" s="23">
        <v>10.25</v>
      </c>
      <c r="V61" s="23">
        <v>10.25</v>
      </c>
      <c r="W61" s="23">
        <v>10.25</v>
      </c>
      <c r="X61" s="23">
        <v>10.25</v>
      </c>
      <c r="Y61" s="23">
        <v>10.25</v>
      </c>
      <c r="Z61" s="23">
        <v>10.25</v>
      </c>
      <c r="AA61" s="23">
        <v>10.25</v>
      </c>
      <c r="AB61" s="23">
        <v>10.25</v>
      </c>
      <c r="AC61" s="23">
        <v>10.25</v>
      </c>
      <c r="AD61" s="23">
        <v>10.25</v>
      </c>
      <c r="AE61" s="23">
        <v>10.25</v>
      </c>
      <c r="AF61" s="24"/>
      <c r="AG61" s="24"/>
      <c r="AH61" s="24"/>
      <c r="AI61" s="24"/>
      <c r="AJ61" s="24"/>
      <c r="AK61" s="35" t="s">
        <v>184</v>
      </c>
      <c r="AL61" s="23">
        <v>10.25</v>
      </c>
      <c r="AM61" s="23">
        <v>10.25</v>
      </c>
      <c r="AN61" s="23">
        <v>10.25</v>
      </c>
      <c r="AO61" s="23">
        <v>10.25</v>
      </c>
      <c r="AP61" s="23">
        <v>10.25</v>
      </c>
      <c r="AQ61" s="23">
        <v>10.25</v>
      </c>
      <c r="AR61" s="23">
        <v>10.25</v>
      </c>
      <c r="AS61" s="23">
        <v>10.25</v>
      </c>
      <c r="AT61" s="23">
        <v>10.25</v>
      </c>
      <c r="AU61" s="23">
        <v>10.25</v>
      </c>
      <c r="AV61" s="23">
        <v>10.25</v>
      </c>
      <c r="AW61" s="23">
        <v>10.25</v>
      </c>
      <c r="AX61" s="24"/>
      <c r="AY61" s="24"/>
      <c r="AZ61" s="24"/>
      <c r="BA61" s="24"/>
      <c r="BB61" s="24"/>
    </row>
    <row r="62" spans="1:54">
      <c r="A62" s="35" t="s">
        <v>185</v>
      </c>
      <c r="B62" s="39">
        <f t="shared" ref="B62:M62" si="48">B60*B61</f>
        <v>101824.99999999999</v>
      </c>
      <c r="C62" s="39">
        <f t="shared" si="48"/>
        <v>101824.99999999999</v>
      </c>
      <c r="D62" s="39">
        <f t="shared" si="48"/>
        <v>101824.99999999999</v>
      </c>
      <c r="E62" s="39">
        <f t="shared" si="48"/>
        <v>101824.99999999999</v>
      </c>
      <c r="F62" s="39">
        <f t="shared" si="48"/>
        <v>101790</v>
      </c>
      <c r="G62" s="39">
        <f t="shared" si="48"/>
        <v>101790</v>
      </c>
      <c r="H62" s="39">
        <f t="shared" si="48"/>
        <v>101790</v>
      </c>
      <c r="I62" s="39">
        <f t="shared" si="48"/>
        <v>101790</v>
      </c>
      <c r="J62" s="39">
        <f t="shared" si="48"/>
        <v>101790</v>
      </c>
      <c r="K62" s="39">
        <f t="shared" si="48"/>
        <v>101790</v>
      </c>
      <c r="L62" s="39">
        <f t="shared" si="48"/>
        <v>101790</v>
      </c>
      <c r="M62" s="39">
        <f t="shared" si="48"/>
        <v>101790</v>
      </c>
      <c r="N62" s="26">
        <f>SUM(B62:M62)</f>
        <v>1221620</v>
      </c>
      <c r="O62" s="24"/>
      <c r="P62" s="24"/>
      <c r="Q62" s="24"/>
      <c r="R62" s="24"/>
      <c r="S62" s="35" t="s">
        <v>185</v>
      </c>
      <c r="T62" s="39">
        <f t="shared" ref="T62:AE62" si="49">T60*T61</f>
        <v>102500</v>
      </c>
      <c r="U62" s="39">
        <f t="shared" si="49"/>
        <v>102500</v>
      </c>
      <c r="V62" s="39">
        <f t="shared" si="49"/>
        <v>102500</v>
      </c>
      <c r="W62" s="39">
        <f t="shared" si="49"/>
        <v>102500</v>
      </c>
      <c r="X62" s="39">
        <f t="shared" si="49"/>
        <v>102500</v>
      </c>
      <c r="Y62" s="39">
        <f t="shared" si="49"/>
        <v>102500</v>
      </c>
      <c r="Z62" s="39">
        <f t="shared" si="49"/>
        <v>102500</v>
      </c>
      <c r="AA62" s="39">
        <f t="shared" si="49"/>
        <v>102500</v>
      </c>
      <c r="AB62" s="39">
        <f t="shared" si="49"/>
        <v>102500</v>
      </c>
      <c r="AC62" s="39">
        <f t="shared" si="49"/>
        <v>102500</v>
      </c>
      <c r="AD62" s="39">
        <f t="shared" si="49"/>
        <v>102500</v>
      </c>
      <c r="AE62" s="39">
        <f t="shared" si="49"/>
        <v>102500</v>
      </c>
      <c r="AF62" s="26">
        <f>SUM(T62:AE62)</f>
        <v>1230000</v>
      </c>
      <c r="AG62" s="24"/>
      <c r="AH62" s="24"/>
      <c r="AI62" s="24"/>
      <c r="AJ62" s="24"/>
      <c r="AK62" s="35" t="s">
        <v>185</v>
      </c>
      <c r="AL62" s="39">
        <f t="shared" ref="AL62:AW62" si="50">AL60*AL61</f>
        <v>102500</v>
      </c>
      <c r="AM62" s="39">
        <f t="shared" si="50"/>
        <v>102500</v>
      </c>
      <c r="AN62" s="39">
        <f t="shared" si="50"/>
        <v>102500</v>
      </c>
      <c r="AO62" s="39">
        <f t="shared" si="50"/>
        <v>102500</v>
      </c>
      <c r="AP62" s="39">
        <f t="shared" si="50"/>
        <v>102500</v>
      </c>
      <c r="AQ62" s="39">
        <f t="shared" si="50"/>
        <v>102500</v>
      </c>
      <c r="AR62" s="39">
        <f t="shared" si="50"/>
        <v>102500</v>
      </c>
      <c r="AS62" s="39">
        <f t="shared" si="50"/>
        <v>102500</v>
      </c>
      <c r="AT62" s="39">
        <f t="shared" si="50"/>
        <v>102500</v>
      </c>
      <c r="AU62" s="39">
        <f t="shared" si="50"/>
        <v>102500</v>
      </c>
      <c r="AV62" s="39">
        <f t="shared" si="50"/>
        <v>102500</v>
      </c>
      <c r="AW62" s="39">
        <f t="shared" si="50"/>
        <v>102500</v>
      </c>
      <c r="AX62" s="26">
        <f>SUM(AL62:AW62)</f>
        <v>1230000</v>
      </c>
      <c r="AY62" s="24"/>
      <c r="AZ62" s="24"/>
      <c r="BA62" s="24"/>
      <c r="BB62" s="24"/>
    </row>
    <row r="63" spans="1:54">
      <c r="A63" s="35"/>
      <c r="D63" s="24"/>
      <c r="E63" s="28"/>
      <c r="F63" s="28"/>
      <c r="G63" s="28"/>
      <c r="H63" s="28"/>
      <c r="I63" s="28"/>
      <c r="J63" s="28"/>
      <c r="K63" s="28"/>
      <c r="L63" s="28"/>
      <c r="M63" s="28"/>
      <c r="N63" s="24"/>
      <c r="O63" s="24"/>
      <c r="P63" s="24"/>
      <c r="Q63" s="24"/>
      <c r="R63" s="24"/>
      <c r="S63" s="35"/>
      <c r="T63" s="24"/>
      <c r="U63" s="24"/>
      <c r="V63" s="24"/>
      <c r="W63" s="28"/>
      <c r="X63" s="28"/>
      <c r="Y63" s="28"/>
      <c r="Z63" s="28"/>
      <c r="AA63" s="28"/>
      <c r="AB63" s="28"/>
      <c r="AC63" s="28"/>
      <c r="AD63" s="28"/>
      <c r="AE63" s="28"/>
      <c r="AF63" s="24"/>
      <c r="AG63" s="24"/>
      <c r="AH63" s="24"/>
      <c r="AI63" s="24"/>
      <c r="AJ63" s="24"/>
      <c r="AK63" s="35"/>
      <c r="AL63" s="24"/>
      <c r="AM63" s="24"/>
      <c r="AN63" s="24"/>
      <c r="AO63" s="28"/>
      <c r="AP63" s="28"/>
      <c r="AQ63" s="28"/>
      <c r="AR63" s="28"/>
      <c r="AS63" s="28"/>
      <c r="AT63" s="28"/>
      <c r="AU63" s="28"/>
      <c r="AV63" s="28"/>
      <c r="AW63" s="28"/>
      <c r="AX63" s="24"/>
      <c r="AY63" s="24"/>
      <c r="AZ63" s="24"/>
      <c r="BA63" s="24"/>
      <c r="BB63" s="24"/>
    </row>
    <row r="64" spans="1:54">
      <c r="A64" s="35" t="s">
        <v>22</v>
      </c>
      <c r="B64" s="28">
        <f>46913/2</f>
        <v>23456.5</v>
      </c>
      <c r="C64" s="28">
        <f>46913/2</f>
        <v>23456.5</v>
      </c>
      <c r="D64" s="28">
        <f>46913/2</f>
        <v>23456.5</v>
      </c>
      <c r="E64" s="28">
        <v>46913</v>
      </c>
      <c r="F64" s="28">
        <v>46913</v>
      </c>
      <c r="G64" s="28">
        <v>46913</v>
      </c>
      <c r="H64" s="28">
        <v>46913</v>
      </c>
      <c r="I64" s="28">
        <v>46913</v>
      </c>
      <c r="J64" s="28">
        <v>46913</v>
      </c>
      <c r="K64" s="28">
        <f>46913/2</f>
        <v>23456.5</v>
      </c>
      <c r="L64" s="28">
        <f>46913/2</f>
        <v>23456.5</v>
      </c>
      <c r="M64" s="28">
        <f>46913/2</f>
        <v>23456.5</v>
      </c>
      <c r="N64" s="24"/>
      <c r="O64" s="24"/>
      <c r="P64" s="24"/>
      <c r="Q64" s="24"/>
      <c r="R64" s="24"/>
      <c r="S64" s="35" t="s">
        <v>22</v>
      </c>
      <c r="T64" s="28">
        <f>46913/2</f>
        <v>23456.5</v>
      </c>
      <c r="U64" s="28">
        <f>46913/2</f>
        <v>23456.5</v>
      </c>
      <c r="V64" s="28">
        <f>46913/2</f>
        <v>23456.5</v>
      </c>
      <c r="W64" s="28">
        <v>46913</v>
      </c>
      <c r="X64" s="28">
        <v>46913</v>
      </c>
      <c r="Y64" s="28">
        <v>46913</v>
      </c>
      <c r="Z64" s="28">
        <v>46913</v>
      </c>
      <c r="AA64" s="28">
        <v>46913</v>
      </c>
      <c r="AB64" s="28">
        <v>46913</v>
      </c>
      <c r="AC64" s="28">
        <f>46913/2</f>
        <v>23456.5</v>
      </c>
      <c r="AD64" s="28">
        <f>46913/2</f>
        <v>23456.5</v>
      </c>
      <c r="AE64" s="28">
        <f>46913/2</f>
        <v>23456.5</v>
      </c>
      <c r="AF64" s="24"/>
      <c r="AG64" s="24"/>
      <c r="AH64" s="24"/>
      <c r="AI64" s="24"/>
      <c r="AJ64" s="24"/>
      <c r="AK64" s="35" t="s">
        <v>22</v>
      </c>
      <c r="AL64" s="28">
        <f>46913/2</f>
        <v>23456.5</v>
      </c>
      <c r="AM64" s="28">
        <f>46913/2</f>
        <v>23456.5</v>
      </c>
      <c r="AN64" s="28">
        <f>46913/2</f>
        <v>23456.5</v>
      </c>
      <c r="AO64" s="28">
        <v>46913</v>
      </c>
      <c r="AP64" s="28">
        <v>46913</v>
      </c>
      <c r="AQ64" s="28">
        <v>46913</v>
      </c>
      <c r="AR64" s="28">
        <v>46913</v>
      </c>
      <c r="AS64" s="28">
        <v>46913</v>
      </c>
      <c r="AT64" s="28">
        <v>46913</v>
      </c>
      <c r="AU64" s="28">
        <f>46913/2</f>
        <v>23456.5</v>
      </c>
      <c r="AV64" s="28">
        <f>46913/2</f>
        <v>23456.5</v>
      </c>
      <c r="AW64" s="28">
        <f>46913/2</f>
        <v>23456.5</v>
      </c>
      <c r="AX64" s="24"/>
      <c r="AY64" s="24"/>
      <c r="AZ64" s="24"/>
      <c r="BA64" s="24"/>
      <c r="BB64" s="24"/>
    </row>
    <row r="65" spans="1:54">
      <c r="A65" s="35" t="s">
        <v>23</v>
      </c>
      <c r="B65" s="416">
        <v>5.8319999999999999</v>
      </c>
      <c r="C65" s="416">
        <v>5.8319999999999999</v>
      </c>
      <c r="D65" s="416">
        <v>5.8920000000000003</v>
      </c>
      <c r="E65" s="416">
        <v>5.8920000000000003</v>
      </c>
      <c r="F65" s="416">
        <v>5.8920000000000003</v>
      </c>
      <c r="G65" s="416">
        <v>5.8920000000000003</v>
      </c>
      <c r="H65" s="416">
        <v>5.8920000000000003</v>
      </c>
      <c r="I65" s="416">
        <v>5.92</v>
      </c>
      <c r="J65" s="416">
        <v>5.9189999999999996</v>
      </c>
      <c r="K65" s="416">
        <v>5.9189999999999996</v>
      </c>
      <c r="L65" s="416">
        <v>5.9189999999999996</v>
      </c>
      <c r="M65" s="416">
        <v>5.9189999999999996</v>
      </c>
      <c r="N65" s="24"/>
      <c r="O65" s="24"/>
      <c r="P65" s="24"/>
      <c r="Q65" s="24"/>
      <c r="R65" s="24"/>
      <c r="S65" s="35" t="s">
        <v>23</v>
      </c>
      <c r="T65" s="21">
        <v>5.9</v>
      </c>
      <c r="U65" s="21">
        <v>5.9</v>
      </c>
      <c r="V65" s="21">
        <v>5.9</v>
      </c>
      <c r="W65" s="21">
        <v>5.9</v>
      </c>
      <c r="X65" s="21">
        <v>5.9</v>
      </c>
      <c r="Y65" s="21">
        <v>5.9</v>
      </c>
      <c r="Z65" s="21">
        <v>5.9</v>
      </c>
      <c r="AA65" s="21">
        <v>5.9</v>
      </c>
      <c r="AB65" s="21">
        <v>5.9</v>
      </c>
      <c r="AC65" s="21">
        <v>5.9</v>
      </c>
      <c r="AD65" s="21">
        <v>5.9</v>
      </c>
      <c r="AE65" s="21">
        <v>5.9</v>
      </c>
      <c r="AF65" s="24"/>
      <c r="AG65" s="24"/>
      <c r="AH65" s="24"/>
      <c r="AI65" s="24"/>
      <c r="AJ65" s="24"/>
      <c r="AK65" s="35" t="s">
        <v>23</v>
      </c>
      <c r="AL65" s="21">
        <v>5.9</v>
      </c>
      <c r="AM65" s="21">
        <v>5.9</v>
      </c>
      <c r="AN65" s="21">
        <v>5.9</v>
      </c>
      <c r="AO65" s="21">
        <v>5.9</v>
      </c>
      <c r="AP65" s="21">
        <v>5.9</v>
      </c>
      <c r="AQ65" s="21">
        <v>5.9</v>
      </c>
      <c r="AR65" s="21">
        <v>5.9</v>
      </c>
      <c r="AS65" s="21">
        <v>5.9</v>
      </c>
      <c r="AT65" s="21">
        <v>5.9</v>
      </c>
      <c r="AU65" s="21">
        <v>5.9</v>
      </c>
      <c r="AV65" s="21">
        <v>5.9</v>
      </c>
      <c r="AW65" s="21">
        <v>5.9</v>
      </c>
      <c r="AX65" s="24"/>
      <c r="AY65" s="24"/>
      <c r="AZ65" s="24"/>
      <c r="BA65" s="24"/>
      <c r="BB65" s="24"/>
    </row>
    <row r="66" spans="1:54">
      <c r="A66" s="35" t="s">
        <v>24</v>
      </c>
      <c r="B66" s="26">
        <f t="shared" ref="B66:M66" si="51">+B64*B65</f>
        <v>136798.30799999999</v>
      </c>
      <c r="C66" s="26">
        <f t="shared" si="51"/>
        <v>136798.30799999999</v>
      </c>
      <c r="D66" s="26">
        <f t="shared" si="51"/>
        <v>138205.698</v>
      </c>
      <c r="E66" s="26">
        <f t="shared" si="51"/>
        <v>276411.39600000001</v>
      </c>
      <c r="F66" s="26">
        <f t="shared" si="51"/>
        <v>276411.39600000001</v>
      </c>
      <c r="G66" s="26">
        <f t="shared" si="51"/>
        <v>276411.39600000001</v>
      </c>
      <c r="H66" s="26">
        <f t="shared" si="51"/>
        <v>276411.39600000001</v>
      </c>
      <c r="I66" s="26">
        <f t="shared" si="51"/>
        <v>277724.96000000002</v>
      </c>
      <c r="J66" s="26">
        <f t="shared" si="51"/>
        <v>277678.04699999996</v>
      </c>
      <c r="K66" s="26">
        <f t="shared" si="51"/>
        <v>138839.02349999998</v>
      </c>
      <c r="L66" s="26">
        <f t="shared" si="51"/>
        <v>138839.02349999998</v>
      </c>
      <c r="M66" s="26">
        <f t="shared" si="51"/>
        <v>138839.02349999998</v>
      </c>
      <c r="N66" s="26">
        <f>SUM(B66:M66)</f>
        <v>2489367.9755000002</v>
      </c>
      <c r="O66" s="24"/>
      <c r="P66" s="24"/>
      <c r="Q66" s="24"/>
      <c r="R66" s="24"/>
      <c r="S66" s="35" t="s">
        <v>24</v>
      </c>
      <c r="T66" s="26">
        <f t="shared" ref="T66:AE66" si="52">+T64*T65</f>
        <v>138393.35</v>
      </c>
      <c r="U66" s="26">
        <f t="shared" si="52"/>
        <v>138393.35</v>
      </c>
      <c r="V66" s="26">
        <f t="shared" si="52"/>
        <v>138393.35</v>
      </c>
      <c r="W66" s="26">
        <f t="shared" si="52"/>
        <v>276786.7</v>
      </c>
      <c r="X66" s="26">
        <f t="shared" si="52"/>
        <v>276786.7</v>
      </c>
      <c r="Y66" s="26">
        <f t="shared" si="52"/>
        <v>276786.7</v>
      </c>
      <c r="Z66" s="26">
        <f t="shared" si="52"/>
        <v>276786.7</v>
      </c>
      <c r="AA66" s="26">
        <f t="shared" si="52"/>
        <v>276786.7</v>
      </c>
      <c r="AB66" s="26">
        <f t="shared" si="52"/>
        <v>276786.7</v>
      </c>
      <c r="AC66" s="26">
        <f t="shared" si="52"/>
        <v>138393.35</v>
      </c>
      <c r="AD66" s="26">
        <f t="shared" si="52"/>
        <v>138393.35</v>
      </c>
      <c r="AE66" s="26">
        <f t="shared" si="52"/>
        <v>138393.35</v>
      </c>
      <c r="AF66" s="26">
        <f>SUM(T66:AE66)</f>
        <v>2491080.2999999998</v>
      </c>
      <c r="AG66" s="24"/>
      <c r="AH66" s="24"/>
      <c r="AI66" s="24"/>
      <c r="AJ66" s="24"/>
      <c r="AK66" s="35" t="s">
        <v>24</v>
      </c>
      <c r="AL66" s="26">
        <f t="shared" ref="AL66:AW66" si="53">+AL64*AL65</f>
        <v>138393.35</v>
      </c>
      <c r="AM66" s="26">
        <f t="shared" si="53"/>
        <v>138393.35</v>
      </c>
      <c r="AN66" s="26">
        <f t="shared" si="53"/>
        <v>138393.35</v>
      </c>
      <c r="AO66" s="26">
        <f t="shared" si="53"/>
        <v>276786.7</v>
      </c>
      <c r="AP66" s="26">
        <f t="shared" si="53"/>
        <v>276786.7</v>
      </c>
      <c r="AQ66" s="26">
        <f t="shared" si="53"/>
        <v>276786.7</v>
      </c>
      <c r="AR66" s="26">
        <f t="shared" si="53"/>
        <v>276786.7</v>
      </c>
      <c r="AS66" s="26">
        <f t="shared" si="53"/>
        <v>276786.7</v>
      </c>
      <c r="AT66" s="26">
        <f t="shared" si="53"/>
        <v>276786.7</v>
      </c>
      <c r="AU66" s="26">
        <f t="shared" si="53"/>
        <v>138393.35</v>
      </c>
      <c r="AV66" s="26">
        <f t="shared" si="53"/>
        <v>138393.35</v>
      </c>
      <c r="AW66" s="26">
        <f t="shared" si="53"/>
        <v>138393.35</v>
      </c>
      <c r="AX66" s="26">
        <f>SUM(AL66:AW66)</f>
        <v>2491080.2999999998</v>
      </c>
      <c r="AY66" s="24"/>
      <c r="AZ66" s="24"/>
      <c r="BA66" s="24"/>
      <c r="BB66" s="24"/>
    </row>
    <row r="67" spans="1:54">
      <c r="A67" s="35" t="s">
        <v>778</v>
      </c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4"/>
      <c r="P67" s="24"/>
      <c r="Q67" s="24"/>
      <c r="R67" s="24"/>
      <c r="S67" s="35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4"/>
      <c r="AH67" s="24"/>
      <c r="AI67" s="24"/>
      <c r="AJ67" s="24"/>
      <c r="AK67" s="35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4"/>
      <c r="AZ67" s="24"/>
      <c r="BA67" s="24"/>
      <c r="BB67" s="24"/>
    </row>
    <row r="68" spans="1:54">
      <c r="A68" s="35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35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35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</row>
    <row r="69" spans="1:54" ht="21" thickBot="1">
      <c r="A69" s="339" t="s">
        <v>25</v>
      </c>
      <c r="B69" s="40">
        <f>SUM(B54,B58,B62,B66)</f>
        <v>281698.30799999996</v>
      </c>
      <c r="C69" s="40">
        <f t="shared" ref="C69:M69" si="54">SUM(C54,C58,C62,C66)</f>
        <v>281698.30799999996</v>
      </c>
      <c r="D69" s="40">
        <f t="shared" si="54"/>
        <v>283105.69799999997</v>
      </c>
      <c r="E69" s="40">
        <f t="shared" si="54"/>
        <v>421311.39600000001</v>
      </c>
      <c r="F69" s="40">
        <f t="shared" si="54"/>
        <v>468352.98</v>
      </c>
      <c r="G69" s="40">
        <f t="shared" si="54"/>
        <v>468352.98</v>
      </c>
      <c r="H69" s="40">
        <f t="shared" si="54"/>
        <v>468352.98</v>
      </c>
      <c r="I69" s="40">
        <f t="shared" si="54"/>
        <v>469666.54399999999</v>
      </c>
      <c r="J69" s="40">
        <f t="shared" si="54"/>
        <v>469619.63099999994</v>
      </c>
      <c r="K69" s="40">
        <f t="shared" si="54"/>
        <v>283669.02350000001</v>
      </c>
      <c r="L69" s="40">
        <f t="shared" si="54"/>
        <v>283669.02350000001</v>
      </c>
      <c r="M69" s="40">
        <f t="shared" si="54"/>
        <v>283669.02350000001</v>
      </c>
      <c r="N69" s="40">
        <f>SUM(B69:M69)</f>
        <v>4463165.8955000006</v>
      </c>
      <c r="O69" s="24"/>
      <c r="P69" s="24"/>
      <c r="Q69" s="24"/>
      <c r="R69" s="24"/>
      <c r="S69" s="339" t="s">
        <v>25</v>
      </c>
      <c r="T69" s="40">
        <f>SUM(T54,T58,T62,T66)</f>
        <v>284393.34999999998</v>
      </c>
      <c r="U69" s="40">
        <f t="shared" ref="U69:AE69" si="55">SUM(U54,U58,U62,U66)</f>
        <v>284393.34999999998</v>
      </c>
      <c r="V69" s="40">
        <f t="shared" si="55"/>
        <v>284393.34999999998</v>
      </c>
      <c r="W69" s="40">
        <f t="shared" si="55"/>
        <v>422786.7</v>
      </c>
      <c r="X69" s="40">
        <f t="shared" si="55"/>
        <v>470401.80000000005</v>
      </c>
      <c r="Y69" s="40">
        <f t="shared" si="55"/>
        <v>470401.80000000005</v>
      </c>
      <c r="Z69" s="40">
        <f t="shared" si="55"/>
        <v>470401.80000000005</v>
      </c>
      <c r="AA69" s="40">
        <f t="shared" si="55"/>
        <v>470401.80000000005</v>
      </c>
      <c r="AB69" s="40">
        <f t="shared" si="55"/>
        <v>470401.80000000005</v>
      </c>
      <c r="AC69" s="40">
        <f t="shared" si="55"/>
        <v>284393.34999999998</v>
      </c>
      <c r="AD69" s="40">
        <f t="shared" si="55"/>
        <v>284393.34999999998</v>
      </c>
      <c r="AE69" s="40">
        <f t="shared" si="55"/>
        <v>284393.34999999998</v>
      </c>
      <c r="AF69" s="40">
        <f>SUM(T69:AE69)</f>
        <v>4481155.8</v>
      </c>
      <c r="AG69" s="24"/>
      <c r="AH69" s="24"/>
      <c r="AI69" s="24"/>
      <c r="AJ69" s="24"/>
      <c r="AK69" s="339" t="s">
        <v>25</v>
      </c>
      <c r="AL69" s="40">
        <f>SUM(AL54,AL58,AL62,AL66)</f>
        <v>284393.34999999998</v>
      </c>
      <c r="AM69" s="40">
        <f t="shared" ref="AM69:AW69" si="56">SUM(AM54,AM58,AM62,AM66)</f>
        <v>284393.34999999998</v>
      </c>
      <c r="AN69" s="40">
        <f t="shared" si="56"/>
        <v>284393.34999999998</v>
      </c>
      <c r="AO69" s="40">
        <f t="shared" si="56"/>
        <v>422786.7</v>
      </c>
      <c r="AP69" s="40">
        <f t="shared" si="56"/>
        <v>470401.80000000005</v>
      </c>
      <c r="AQ69" s="40">
        <f t="shared" si="56"/>
        <v>470401.80000000005</v>
      </c>
      <c r="AR69" s="40">
        <f t="shared" si="56"/>
        <v>470401.80000000005</v>
      </c>
      <c r="AS69" s="40">
        <f t="shared" si="56"/>
        <v>470401.80000000005</v>
      </c>
      <c r="AT69" s="40">
        <f t="shared" si="56"/>
        <v>470401.80000000005</v>
      </c>
      <c r="AU69" s="40">
        <f t="shared" si="56"/>
        <v>284393.34999999998</v>
      </c>
      <c r="AV69" s="40">
        <f t="shared" si="56"/>
        <v>284393.34999999998</v>
      </c>
      <c r="AW69" s="40">
        <f t="shared" si="56"/>
        <v>284393.34999999998</v>
      </c>
      <c r="AX69" s="40">
        <f>SUM(AL69:AW69)</f>
        <v>4481155.8</v>
      </c>
      <c r="AY69" s="24"/>
      <c r="AZ69" s="24"/>
      <c r="BA69" s="24"/>
      <c r="BB69" s="24"/>
    </row>
    <row r="70" spans="1:54" ht="21" thickTop="1"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</row>
    <row r="71" spans="1:54">
      <c r="A71" s="337" t="s">
        <v>26</v>
      </c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337" t="s">
        <v>26</v>
      </c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337" t="s">
        <v>26</v>
      </c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</row>
    <row r="72" spans="1:54">
      <c r="A72" s="35" t="s">
        <v>179</v>
      </c>
      <c r="B72" s="28">
        <f t="shared" ref="B72:M72" si="57">10946+10000+10000</f>
        <v>30946</v>
      </c>
      <c r="C72" s="28">
        <f t="shared" si="57"/>
        <v>30946</v>
      </c>
      <c r="D72" s="28">
        <f t="shared" si="57"/>
        <v>30946</v>
      </c>
      <c r="E72" s="28">
        <f t="shared" si="57"/>
        <v>30946</v>
      </c>
      <c r="F72" s="28">
        <f t="shared" si="57"/>
        <v>30946</v>
      </c>
      <c r="G72" s="28">
        <f t="shared" si="57"/>
        <v>30946</v>
      </c>
      <c r="H72" s="28">
        <f t="shared" si="57"/>
        <v>30946</v>
      </c>
      <c r="I72" s="28">
        <f t="shared" si="57"/>
        <v>30946</v>
      </c>
      <c r="J72" s="28">
        <f t="shared" si="57"/>
        <v>30946</v>
      </c>
      <c r="K72" s="28">
        <f t="shared" si="57"/>
        <v>30946</v>
      </c>
      <c r="L72" s="28">
        <f t="shared" si="57"/>
        <v>30946</v>
      </c>
      <c r="M72" s="28">
        <f t="shared" si="57"/>
        <v>30946</v>
      </c>
      <c r="N72" s="24"/>
      <c r="O72" s="24"/>
      <c r="P72" s="24"/>
      <c r="Q72" s="24"/>
      <c r="R72" s="24"/>
      <c r="S72" s="35" t="s">
        <v>179</v>
      </c>
      <c r="T72" s="28">
        <f t="shared" ref="T72:AE72" si="58">10946+10000+10000</f>
        <v>30946</v>
      </c>
      <c r="U72" s="28">
        <f t="shared" si="58"/>
        <v>30946</v>
      </c>
      <c r="V72" s="28">
        <f t="shared" si="58"/>
        <v>30946</v>
      </c>
      <c r="W72" s="28">
        <f t="shared" si="58"/>
        <v>30946</v>
      </c>
      <c r="X72" s="28">
        <f t="shared" si="58"/>
        <v>30946</v>
      </c>
      <c r="Y72" s="28">
        <f t="shared" si="58"/>
        <v>30946</v>
      </c>
      <c r="Z72" s="28">
        <f t="shared" si="58"/>
        <v>30946</v>
      </c>
      <c r="AA72" s="28">
        <f t="shared" si="58"/>
        <v>30946</v>
      </c>
      <c r="AB72" s="28">
        <f t="shared" si="58"/>
        <v>30946</v>
      </c>
      <c r="AC72" s="28">
        <f t="shared" si="58"/>
        <v>30946</v>
      </c>
      <c r="AD72" s="28">
        <f t="shared" si="58"/>
        <v>30946</v>
      </c>
      <c r="AE72" s="28">
        <f t="shared" si="58"/>
        <v>30946</v>
      </c>
      <c r="AF72" s="24"/>
      <c r="AG72" s="24"/>
      <c r="AH72" s="24"/>
      <c r="AI72" s="24"/>
      <c r="AJ72" s="24"/>
      <c r="AK72" s="35" t="s">
        <v>179</v>
      </c>
      <c r="AL72" s="28">
        <f t="shared" ref="AL72:AW72" si="59">10946+10000+10000</f>
        <v>30946</v>
      </c>
      <c r="AM72" s="28">
        <f t="shared" si="59"/>
        <v>30946</v>
      </c>
      <c r="AN72" s="28">
        <f t="shared" si="59"/>
        <v>30946</v>
      </c>
      <c r="AO72" s="28">
        <f t="shared" si="59"/>
        <v>30946</v>
      </c>
      <c r="AP72" s="28">
        <f t="shared" si="59"/>
        <v>30946</v>
      </c>
      <c r="AQ72" s="28">
        <f t="shared" si="59"/>
        <v>30946</v>
      </c>
      <c r="AR72" s="28">
        <f t="shared" si="59"/>
        <v>30946</v>
      </c>
      <c r="AS72" s="28">
        <f t="shared" si="59"/>
        <v>30946</v>
      </c>
      <c r="AT72" s="28">
        <f t="shared" si="59"/>
        <v>30946</v>
      </c>
      <c r="AU72" s="28">
        <f t="shared" si="59"/>
        <v>30946</v>
      </c>
      <c r="AV72" s="28">
        <f t="shared" si="59"/>
        <v>30946</v>
      </c>
      <c r="AW72" s="28">
        <f t="shared" si="59"/>
        <v>30946</v>
      </c>
      <c r="AX72" s="24"/>
      <c r="AY72" s="24"/>
      <c r="AZ72" s="24"/>
      <c r="BA72" s="24"/>
      <c r="BB72" s="24"/>
    </row>
    <row r="73" spans="1:54">
      <c r="A73" s="35" t="s">
        <v>180</v>
      </c>
      <c r="B73" s="415">
        <v>1.8892</v>
      </c>
      <c r="C73" s="415">
        <v>1.8892</v>
      </c>
      <c r="D73" s="415">
        <v>1.8892</v>
      </c>
      <c r="E73" s="415">
        <v>1.8892</v>
      </c>
      <c r="F73" s="415">
        <v>1.8788</v>
      </c>
      <c r="G73" s="415">
        <v>1.8788</v>
      </c>
      <c r="H73" s="415">
        <v>1.8788</v>
      </c>
      <c r="I73" s="415">
        <v>1.8788</v>
      </c>
      <c r="J73" s="415">
        <v>1.8788</v>
      </c>
      <c r="K73" s="415">
        <v>1.8788</v>
      </c>
      <c r="L73" s="415">
        <v>1.8788</v>
      </c>
      <c r="M73" s="415">
        <v>1.8788</v>
      </c>
      <c r="N73" s="24"/>
      <c r="O73" s="24"/>
      <c r="P73" s="24"/>
      <c r="Q73" s="24"/>
      <c r="R73" s="24"/>
      <c r="S73" s="35" t="s">
        <v>180</v>
      </c>
      <c r="T73" s="21">
        <v>1.9</v>
      </c>
      <c r="U73" s="21">
        <v>1.9</v>
      </c>
      <c r="V73" s="21">
        <v>1.9</v>
      </c>
      <c r="W73" s="21">
        <v>1.9</v>
      </c>
      <c r="X73" s="21">
        <v>1.9</v>
      </c>
      <c r="Y73" s="21">
        <v>1.9</v>
      </c>
      <c r="Z73" s="21">
        <v>1.9</v>
      </c>
      <c r="AA73" s="21">
        <v>1.9</v>
      </c>
      <c r="AB73" s="21">
        <v>1.9</v>
      </c>
      <c r="AC73" s="21">
        <v>1.9</v>
      </c>
      <c r="AD73" s="21">
        <v>1.9</v>
      </c>
      <c r="AE73" s="21">
        <v>1.9</v>
      </c>
      <c r="AF73" s="24"/>
      <c r="AG73" s="24"/>
      <c r="AH73" s="24"/>
      <c r="AI73" s="24"/>
      <c r="AJ73" s="24"/>
      <c r="AK73" s="35" t="s">
        <v>180</v>
      </c>
      <c r="AL73" s="21">
        <v>1.9</v>
      </c>
      <c r="AM73" s="21">
        <v>1.9</v>
      </c>
      <c r="AN73" s="21">
        <v>1.9</v>
      </c>
      <c r="AO73" s="21">
        <v>1.9</v>
      </c>
      <c r="AP73" s="21">
        <v>1.9</v>
      </c>
      <c r="AQ73" s="21">
        <v>1.9</v>
      </c>
      <c r="AR73" s="21">
        <v>1.9</v>
      </c>
      <c r="AS73" s="21">
        <v>1.9</v>
      </c>
      <c r="AT73" s="21">
        <v>1.9</v>
      </c>
      <c r="AU73" s="21">
        <v>1.9</v>
      </c>
      <c r="AV73" s="21">
        <v>1.9</v>
      </c>
      <c r="AW73" s="21">
        <v>1.9</v>
      </c>
      <c r="AX73" s="24"/>
      <c r="AY73" s="24"/>
      <c r="AZ73" s="24"/>
      <c r="BA73" s="24"/>
      <c r="BB73" s="24"/>
    </row>
    <row r="74" spans="1:54">
      <c r="A74" s="35" t="s">
        <v>181</v>
      </c>
      <c r="B74" s="26">
        <f t="shared" ref="B74:M74" si="60">B72*B73</f>
        <v>58463.183199999999</v>
      </c>
      <c r="C74" s="26">
        <f t="shared" si="60"/>
        <v>58463.183199999999</v>
      </c>
      <c r="D74" s="26">
        <f t="shared" si="60"/>
        <v>58463.183199999999</v>
      </c>
      <c r="E74" s="26">
        <f t="shared" si="60"/>
        <v>58463.183199999999</v>
      </c>
      <c r="F74" s="26">
        <f t="shared" si="60"/>
        <v>58141.344799999999</v>
      </c>
      <c r="G74" s="26">
        <f t="shared" si="60"/>
        <v>58141.344799999999</v>
      </c>
      <c r="H74" s="26">
        <f t="shared" si="60"/>
        <v>58141.344799999999</v>
      </c>
      <c r="I74" s="26">
        <f t="shared" si="60"/>
        <v>58141.344799999999</v>
      </c>
      <c r="J74" s="26">
        <f t="shared" si="60"/>
        <v>58141.344799999999</v>
      </c>
      <c r="K74" s="26">
        <f t="shared" si="60"/>
        <v>58141.344799999999</v>
      </c>
      <c r="L74" s="26">
        <f t="shared" si="60"/>
        <v>58141.344799999999</v>
      </c>
      <c r="M74" s="26">
        <f t="shared" si="60"/>
        <v>58141.344799999999</v>
      </c>
      <c r="N74" s="26">
        <f>SUM(B74:M74)</f>
        <v>698983.49119999993</v>
      </c>
      <c r="O74" s="24"/>
      <c r="P74" s="24"/>
      <c r="Q74" s="24"/>
      <c r="R74" s="24"/>
      <c r="S74" s="35" t="s">
        <v>181</v>
      </c>
      <c r="T74" s="26">
        <f t="shared" ref="T74:AE74" si="61">T72*T73</f>
        <v>58797.399999999994</v>
      </c>
      <c r="U74" s="26">
        <f t="shared" si="61"/>
        <v>58797.399999999994</v>
      </c>
      <c r="V74" s="26">
        <f t="shared" si="61"/>
        <v>58797.399999999994</v>
      </c>
      <c r="W74" s="26">
        <f t="shared" si="61"/>
        <v>58797.399999999994</v>
      </c>
      <c r="X74" s="26">
        <f t="shared" si="61"/>
        <v>58797.399999999994</v>
      </c>
      <c r="Y74" s="26">
        <f t="shared" si="61"/>
        <v>58797.399999999994</v>
      </c>
      <c r="Z74" s="26">
        <f t="shared" si="61"/>
        <v>58797.399999999994</v>
      </c>
      <c r="AA74" s="26">
        <f t="shared" si="61"/>
        <v>58797.399999999994</v>
      </c>
      <c r="AB74" s="26">
        <f t="shared" si="61"/>
        <v>58797.399999999994</v>
      </c>
      <c r="AC74" s="26">
        <f t="shared" si="61"/>
        <v>58797.399999999994</v>
      </c>
      <c r="AD74" s="26">
        <f t="shared" si="61"/>
        <v>58797.399999999994</v>
      </c>
      <c r="AE74" s="26">
        <f t="shared" si="61"/>
        <v>58797.399999999994</v>
      </c>
      <c r="AF74" s="26">
        <f>SUM(T74:AE74)</f>
        <v>705568.80000000016</v>
      </c>
      <c r="AG74" s="24"/>
      <c r="AH74" s="24"/>
      <c r="AI74" s="24"/>
      <c r="AJ74" s="24"/>
      <c r="AK74" s="35" t="s">
        <v>181</v>
      </c>
      <c r="AL74" s="26">
        <f t="shared" ref="AL74:AW74" si="62">AL72*AL73</f>
        <v>58797.399999999994</v>
      </c>
      <c r="AM74" s="26">
        <f t="shared" si="62"/>
        <v>58797.399999999994</v>
      </c>
      <c r="AN74" s="26">
        <f t="shared" si="62"/>
        <v>58797.399999999994</v>
      </c>
      <c r="AO74" s="26">
        <f t="shared" si="62"/>
        <v>58797.399999999994</v>
      </c>
      <c r="AP74" s="26">
        <f t="shared" si="62"/>
        <v>58797.399999999994</v>
      </c>
      <c r="AQ74" s="26">
        <f t="shared" si="62"/>
        <v>58797.399999999994</v>
      </c>
      <c r="AR74" s="26">
        <f t="shared" si="62"/>
        <v>58797.399999999994</v>
      </c>
      <c r="AS74" s="26">
        <f t="shared" si="62"/>
        <v>58797.399999999994</v>
      </c>
      <c r="AT74" s="26">
        <f t="shared" si="62"/>
        <v>58797.399999999994</v>
      </c>
      <c r="AU74" s="26">
        <f t="shared" si="62"/>
        <v>58797.399999999994</v>
      </c>
      <c r="AV74" s="26">
        <f t="shared" si="62"/>
        <v>58797.399999999994</v>
      </c>
      <c r="AW74" s="26">
        <f t="shared" si="62"/>
        <v>58797.399999999994</v>
      </c>
      <c r="AX74" s="26">
        <f>SUM(AL74:AW74)</f>
        <v>705568.80000000016</v>
      </c>
      <c r="AY74" s="24"/>
      <c r="AZ74" s="24"/>
      <c r="BA74" s="24"/>
      <c r="BB74" s="24"/>
    </row>
    <row r="75" spans="1:54">
      <c r="A75" s="35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35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35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</row>
    <row r="76" spans="1:54">
      <c r="A76" s="35" t="s">
        <v>182</v>
      </c>
      <c r="B76" s="36">
        <f>562659+300000+300000+600000</f>
        <v>1762659</v>
      </c>
      <c r="C76" s="36">
        <f>562659+300000+300000+600000</f>
        <v>1762659</v>
      </c>
      <c r="D76" s="36">
        <f>562659+300000+300000+600000</f>
        <v>1762659</v>
      </c>
      <c r="E76" s="36">
        <f>562659+300000+300000+600000</f>
        <v>1762659</v>
      </c>
      <c r="F76" s="36">
        <f>562659+300000+300000+600000</f>
        <v>1762659</v>
      </c>
      <c r="G76" s="36">
        <f t="shared" ref="G76:M76" si="63">562659+300000+300000+600000</f>
        <v>1762659</v>
      </c>
      <c r="H76" s="36">
        <f t="shared" si="63"/>
        <v>1762659</v>
      </c>
      <c r="I76" s="36">
        <f t="shared" si="63"/>
        <v>1762659</v>
      </c>
      <c r="J76" s="36">
        <f t="shared" si="63"/>
        <v>1762659</v>
      </c>
      <c r="K76" s="36">
        <f t="shared" si="63"/>
        <v>1762659</v>
      </c>
      <c r="L76" s="36">
        <f t="shared" si="63"/>
        <v>1762659</v>
      </c>
      <c r="M76" s="36">
        <f t="shared" si="63"/>
        <v>1762659</v>
      </c>
      <c r="N76" s="24"/>
      <c r="O76" s="24"/>
      <c r="P76" s="24"/>
      <c r="Q76" s="24"/>
      <c r="R76" s="24"/>
      <c r="S76" s="35" t="s">
        <v>182</v>
      </c>
      <c r="T76" s="36">
        <f>562659+300000+300000+600000</f>
        <v>1762659</v>
      </c>
      <c r="U76" s="36">
        <f>562659+300000+300000+600000</f>
        <v>1762659</v>
      </c>
      <c r="V76" s="36">
        <f>562659+300000+300000+600000</f>
        <v>1762659</v>
      </c>
      <c r="W76" s="36">
        <f>562659+300000+300000+600000</f>
        <v>1762659</v>
      </c>
      <c r="X76" s="36">
        <f>562659+300000+300000+600000</f>
        <v>1762659</v>
      </c>
      <c r="Y76" s="36">
        <f t="shared" ref="Y76:AE76" si="64">562659+300000+300000+600000</f>
        <v>1762659</v>
      </c>
      <c r="Z76" s="36">
        <f t="shared" si="64"/>
        <v>1762659</v>
      </c>
      <c r="AA76" s="36">
        <f t="shared" si="64"/>
        <v>1762659</v>
      </c>
      <c r="AB76" s="36">
        <f t="shared" si="64"/>
        <v>1762659</v>
      </c>
      <c r="AC76" s="36">
        <f t="shared" si="64"/>
        <v>1762659</v>
      </c>
      <c r="AD76" s="36">
        <f t="shared" si="64"/>
        <v>1762659</v>
      </c>
      <c r="AE76" s="36">
        <f t="shared" si="64"/>
        <v>1762659</v>
      </c>
      <c r="AF76" s="24"/>
      <c r="AG76" s="24"/>
      <c r="AH76" s="24"/>
      <c r="AI76" s="24"/>
      <c r="AJ76" s="24"/>
      <c r="AK76" s="35" t="s">
        <v>182</v>
      </c>
      <c r="AL76" s="36">
        <f>562659+300000+300000+600000</f>
        <v>1762659</v>
      </c>
      <c r="AM76" s="36">
        <f>562659+300000+300000+600000</f>
        <v>1762659</v>
      </c>
      <c r="AN76" s="36">
        <f>562659+300000+300000+600000</f>
        <v>1762659</v>
      </c>
      <c r="AO76" s="36">
        <f>562659+300000+300000+600000</f>
        <v>1762659</v>
      </c>
      <c r="AP76" s="36">
        <f>562659+300000+300000+600000</f>
        <v>1762659</v>
      </c>
      <c r="AQ76" s="36">
        <f t="shared" ref="AQ76:AW76" si="65">562659+300000+300000+600000</f>
        <v>1762659</v>
      </c>
      <c r="AR76" s="36">
        <f t="shared" si="65"/>
        <v>1762659</v>
      </c>
      <c r="AS76" s="36">
        <f t="shared" si="65"/>
        <v>1762659</v>
      </c>
      <c r="AT76" s="36">
        <f t="shared" si="65"/>
        <v>1762659</v>
      </c>
      <c r="AU76" s="36">
        <f t="shared" si="65"/>
        <v>1762659</v>
      </c>
      <c r="AV76" s="36">
        <f t="shared" si="65"/>
        <v>1762659</v>
      </c>
      <c r="AW76" s="36">
        <f t="shared" si="65"/>
        <v>1762659</v>
      </c>
      <c r="AX76" s="24"/>
      <c r="AY76" s="24"/>
      <c r="AZ76" s="24"/>
      <c r="BA76" s="24"/>
      <c r="BB76" s="24"/>
    </row>
    <row r="77" spans="1:54">
      <c r="A77" s="35" t="s">
        <v>180</v>
      </c>
      <c r="B77" s="415">
        <v>1.4500000000000001E-2</v>
      </c>
      <c r="C77" s="415">
        <v>1.4500000000000001E-2</v>
      </c>
      <c r="D77" s="415">
        <v>1.4500000000000001E-2</v>
      </c>
      <c r="E77" s="415">
        <v>1.4500000000000001E-2</v>
      </c>
      <c r="F77" s="415">
        <v>1.4500000000000001E-2</v>
      </c>
      <c r="G77" s="415">
        <v>1.4500000000000001E-2</v>
      </c>
      <c r="H77" s="415">
        <v>1.4500000000000001E-2</v>
      </c>
      <c r="I77" s="415">
        <v>1.4500000000000001E-2</v>
      </c>
      <c r="J77" s="415">
        <v>1.4500000000000001E-2</v>
      </c>
      <c r="K77" s="415">
        <v>1.4500000000000001E-2</v>
      </c>
      <c r="L77" s="415">
        <v>1.4500000000000001E-2</v>
      </c>
      <c r="M77" s="415">
        <v>1.4500000000000001E-2</v>
      </c>
      <c r="N77" s="24"/>
      <c r="O77" s="24"/>
      <c r="P77" s="24"/>
      <c r="Q77" s="24"/>
      <c r="R77" s="24"/>
      <c r="S77" s="35" t="s">
        <v>180</v>
      </c>
      <c r="T77" s="21">
        <v>1.4999999999999999E-2</v>
      </c>
      <c r="U77" s="21">
        <v>1.4999999999999999E-2</v>
      </c>
      <c r="V77" s="21">
        <v>1.4999999999999999E-2</v>
      </c>
      <c r="W77" s="21">
        <v>1.4999999999999999E-2</v>
      </c>
      <c r="X77" s="21">
        <v>1.4999999999999999E-2</v>
      </c>
      <c r="Y77" s="21">
        <v>1.4999999999999999E-2</v>
      </c>
      <c r="Z77" s="21">
        <v>1.4999999999999999E-2</v>
      </c>
      <c r="AA77" s="21">
        <v>1.4999999999999999E-2</v>
      </c>
      <c r="AB77" s="21">
        <v>1.4999999999999999E-2</v>
      </c>
      <c r="AC77" s="21">
        <v>1.4999999999999999E-2</v>
      </c>
      <c r="AD77" s="21">
        <v>1.4999999999999999E-2</v>
      </c>
      <c r="AE77" s="21">
        <v>1.4999999999999999E-2</v>
      </c>
      <c r="AF77" s="24"/>
      <c r="AG77" s="24"/>
      <c r="AH77" s="24"/>
      <c r="AI77" s="24"/>
      <c r="AJ77" s="24"/>
      <c r="AK77" s="35" t="s">
        <v>180</v>
      </c>
      <c r="AL77" s="21">
        <v>1.4999999999999999E-2</v>
      </c>
      <c r="AM77" s="21">
        <v>1.4999999999999999E-2</v>
      </c>
      <c r="AN77" s="21">
        <v>1.4999999999999999E-2</v>
      </c>
      <c r="AO77" s="21">
        <v>1.4999999999999999E-2</v>
      </c>
      <c r="AP77" s="21">
        <v>1.4999999999999999E-2</v>
      </c>
      <c r="AQ77" s="21">
        <v>1.4999999999999999E-2</v>
      </c>
      <c r="AR77" s="21">
        <v>1.4999999999999999E-2</v>
      </c>
      <c r="AS77" s="21">
        <v>1.4999999999999999E-2</v>
      </c>
      <c r="AT77" s="21">
        <v>1.4999999999999999E-2</v>
      </c>
      <c r="AU77" s="21">
        <v>1.4999999999999999E-2</v>
      </c>
      <c r="AV77" s="21">
        <v>1.4999999999999999E-2</v>
      </c>
      <c r="AW77" s="21">
        <v>1.4999999999999999E-2</v>
      </c>
      <c r="AX77" s="24"/>
      <c r="AY77" s="24"/>
      <c r="AZ77" s="24"/>
      <c r="BA77" s="24"/>
      <c r="BB77" s="24"/>
    </row>
    <row r="78" spans="1:54">
      <c r="A78" s="35" t="s">
        <v>181</v>
      </c>
      <c r="B78" s="26">
        <f>+B76*B77</f>
        <v>25558.555500000002</v>
      </c>
      <c r="C78" s="26">
        <f>+C76*C77</f>
        <v>25558.555500000002</v>
      </c>
      <c r="D78" s="26">
        <f>+D76*D77</f>
        <v>25558.555500000002</v>
      </c>
      <c r="E78" s="26">
        <f t="shared" ref="E78:M78" si="66">E76*E77</f>
        <v>25558.555500000002</v>
      </c>
      <c r="F78" s="26">
        <f t="shared" si="66"/>
        <v>25558.555500000002</v>
      </c>
      <c r="G78" s="26">
        <f t="shared" si="66"/>
        <v>25558.555500000002</v>
      </c>
      <c r="H78" s="26">
        <f t="shared" si="66"/>
        <v>25558.555500000002</v>
      </c>
      <c r="I78" s="26">
        <f t="shared" si="66"/>
        <v>25558.555500000002</v>
      </c>
      <c r="J78" s="26">
        <f t="shared" si="66"/>
        <v>25558.555500000002</v>
      </c>
      <c r="K78" s="26">
        <f t="shared" si="66"/>
        <v>25558.555500000002</v>
      </c>
      <c r="L78" s="26">
        <f t="shared" si="66"/>
        <v>25558.555500000002</v>
      </c>
      <c r="M78" s="26">
        <f t="shared" si="66"/>
        <v>25558.555500000002</v>
      </c>
      <c r="N78" s="26">
        <f>SUM(B78:M78)</f>
        <v>306702.66600000008</v>
      </c>
      <c r="O78" s="24">
        <f>N82+N86</f>
        <v>1804753.6887999997</v>
      </c>
      <c r="P78" s="24"/>
      <c r="Q78" s="24"/>
      <c r="R78" s="24"/>
      <c r="S78" s="35" t="s">
        <v>181</v>
      </c>
      <c r="T78" s="26">
        <f>+T76*T77</f>
        <v>26439.884999999998</v>
      </c>
      <c r="U78" s="26">
        <f>+U76*U77</f>
        <v>26439.884999999998</v>
      </c>
      <c r="V78" s="26">
        <f>+V76*V77</f>
        <v>26439.884999999998</v>
      </c>
      <c r="W78" s="26">
        <f t="shared" ref="W78:AE78" si="67">W76*W77</f>
        <v>26439.884999999998</v>
      </c>
      <c r="X78" s="26">
        <f t="shared" si="67"/>
        <v>26439.884999999998</v>
      </c>
      <c r="Y78" s="26">
        <f t="shared" si="67"/>
        <v>26439.884999999998</v>
      </c>
      <c r="Z78" s="26">
        <f t="shared" si="67"/>
        <v>26439.884999999998</v>
      </c>
      <c r="AA78" s="26">
        <f t="shared" si="67"/>
        <v>26439.884999999998</v>
      </c>
      <c r="AB78" s="26">
        <f t="shared" si="67"/>
        <v>26439.884999999998</v>
      </c>
      <c r="AC78" s="26">
        <f t="shared" si="67"/>
        <v>26439.884999999998</v>
      </c>
      <c r="AD78" s="26">
        <f t="shared" si="67"/>
        <v>26439.884999999998</v>
      </c>
      <c r="AE78" s="26">
        <f t="shared" si="67"/>
        <v>26439.884999999998</v>
      </c>
      <c r="AF78" s="26">
        <f>SUM(T78:AE78)</f>
        <v>317278.62000000005</v>
      </c>
      <c r="AG78" s="24"/>
      <c r="AH78" s="24"/>
      <c r="AI78" s="24"/>
      <c r="AJ78" s="24"/>
      <c r="AK78" s="35" t="s">
        <v>181</v>
      </c>
      <c r="AL78" s="26">
        <f>+AL76*AL77</f>
        <v>26439.884999999998</v>
      </c>
      <c r="AM78" s="26">
        <f>+AM76*AM77</f>
        <v>26439.884999999998</v>
      </c>
      <c r="AN78" s="26">
        <f>+AN76*AN77</f>
        <v>26439.884999999998</v>
      </c>
      <c r="AO78" s="26">
        <f t="shared" ref="AO78:AW78" si="68">AO76*AO77</f>
        <v>26439.884999999998</v>
      </c>
      <c r="AP78" s="26">
        <f t="shared" si="68"/>
        <v>26439.884999999998</v>
      </c>
      <c r="AQ78" s="26">
        <f t="shared" si="68"/>
        <v>26439.884999999998</v>
      </c>
      <c r="AR78" s="26">
        <f t="shared" si="68"/>
        <v>26439.884999999998</v>
      </c>
      <c r="AS78" s="26">
        <f t="shared" si="68"/>
        <v>26439.884999999998</v>
      </c>
      <c r="AT78" s="26">
        <f t="shared" si="68"/>
        <v>26439.884999999998</v>
      </c>
      <c r="AU78" s="26">
        <f t="shared" si="68"/>
        <v>26439.884999999998</v>
      </c>
      <c r="AV78" s="26">
        <f t="shared" si="68"/>
        <v>26439.884999999998</v>
      </c>
      <c r="AW78" s="26">
        <f t="shared" si="68"/>
        <v>26439.884999999998</v>
      </c>
      <c r="AX78" s="26">
        <f>SUM(AL78:AW78)</f>
        <v>317278.62000000005</v>
      </c>
      <c r="AY78" s="24"/>
      <c r="AZ78" s="24"/>
      <c r="BA78" s="24"/>
      <c r="BB78" s="24"/>
    </row>
    <row r="79" spans="1:54">
      <c r="A79" s="35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35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35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</row>
    <row r="80" spans="1:54">
      <c r="A80" s="35" t="s">
        <v>27</v>
      </c>
      <c r="B80" s="36">
        <v>46913</v>
      </c>
      <c r="C80" s="36">
        <v>46913</v>
      </c>
      <c r="D80" s="36">
        <v>46913</v>
      </c>
      <c r="E80" s="36">
        <v>46913</v>
      </c>
      <c r="F80" s="36">
        <v>46913</v>
      </c>
      <c r="G80" s="36">
        <v>46913</v>
      </c>
      <c r="H80" s="36">
        <v>46913</v>
      </c>
      <c r="I80" s="36">
        <v>46913</v>
      </c>
      <c r="J80" s="36">
        <v>46913</v>
      </c>
      <c r="K80" s="36">
        <v>46913</v>
      </c>
      <c r="L80" s="36">
        <v>46913</v>
      </c>
      <c r="M80" s="36">
        <v>46913</v>
      </c>
      <c r="N80" s="24"/>
      <c r="O80" s="24"/>
      <c r="P80" s="24"/>
      <c r="Q80" s="24"/>
      <c r="R80" s="24"/>
      <c r="S80" s="35" t="s">
        <v>27</v>
      </c>
      <c r="T80" s="36">
        <v>46913</v>
      </c>
      <c r="U80" s="36">
        <v>46913</v>
      </c>
      <c r="V80" s="36">
        <v>46913</v>
      </c>
      <c r="W80" s="36">
        <v>46913</v>
      </c>
      <c r="X80" s="36">
        <v>46913</v>
      </c>
      <c r="Y80" s="36">
        <v>46913</v>
      </c>
      <c r="Z80" s="36">
        <v>46913</v>
      </c>
      <c r="AA80" s="36">
        <v>46913</v>
      </c>
      <c r="AB80" s="36">
        <v>46913</v>
      </c>
      <c r="AC80" s="36">
        <v>46913</v>
      </c>
      <c r="AD80" s="36">
        <v>46913</v>
      </c>
      <c r="AE80" s="36">
        <v>46913</v>
      </c>
      <c r="AF80" s="24"/>
      <c r="AG80" s="24"/>
      <c r="AH80" s="24"/>
      <c r="AI80" s="24"/>
      <c r="AJ80" s="24"/>
      <c r="AK80" s="35" t="s">
        <v>27</v>
      </c>
      <c r="AL80" s="36">
        <v>46913</v>
      </c>
      <c r="AM80" s="36">
        <v>46913</v>
      </c>
      <c r="AN80" s="36">
        <v>46913</v>
      </c>
      <c r="AO80" s="36">
        <v>46913</v>
      </c>
      <c r="AP80" s="36">
        <v>46913</v>
      </c>
      <c r="AQ80" s="36">
        <v>46913</v>
      </c>
      <c r="AR80" s="36">
        <v>46913</v>
      </c>
      <c r="AS80" s="36">
        <v>46913</v>
      </c>
      <c r="AT80" s="36">
        <v>46913</v>
      </c>
      <c r="AU80" s="36">
        <v>46913</v>
      </c>
      <c r="AV80" s="36">
        <v>46913</v>
      </c>
      <c r="AW80" s="36">
        <v>46913</v>
      </c>
      <c r="AX80" s="24"/>
      <c r="AY80" s="24"/>
      <c r="AZ80" s="24"/>
      <c r="BA80" s="24"/>
      <c r="BB80" s="24"/>
    </row>
    <row r="81" spans="1:54">
      <c r="A81" s="35" t="s">
        <v>28</v>
      </c>
      <c r="B81" s="415">
        <v>1.5049999999999999</v>
      </c>
      <c r="C81" s="415">
        <v>1.5049999999999999</v>
      </c>
      <c r="D81" s="415">
        <v>1.5049999999999999</v>
      </c>
      <c r="E81" s="415">
        <v>1.5049999999999999</v>
      </c>
      <c r="F81" s="415">
        <v>1.5049999999999999</v>
      </c>
      <c r="G81" s="415">
        <v>1.5049999999999999</v>
      </c>
      <c r="H81" s="415">
        <v>1.5049999999999999</v>
      </c>
      <c r="I81" s="415">
        <v>1.5089999999999999</v>
      </c>
      <c r="J81" s="415">
        <v>1.5089999999999999</v>
      </c>
      <c r="K81" s="415">
        <v>1.5089999999999999</v>
      </c>
      <c r="L81" s="415">
        <v>1.5089999999999999</v>
      </c>
      <c r="M81" s="415">
        <v>1.5089999999999999</v>
      </c>
      <c r="N81" s="24"/>
      <c r="O81" s="24"/>
      <c r="P81" s="24"/>
      <c r="Q81" s="24"/>
      <c r="R81" s="24"/>
      <c r="S81" s="35" t="s">
        <v>28</v>
      </c>
      <c r="T81" s="21">
        <v>1.5</v>
      </c>
      <c r="U81" s="21">
        <v>1.5</v>
      </c>
      <c r="V81" s="21">
        <v>1.5</v>
      </c>
      <c r="W81" s="21">
        <v>1.5</v>
      </c>
      <c r="X81" s="21">
        <v>1.5</v>
      </c>
      <c r="Y81" s="21">
        <v>1.5</v>
      </c>
      <c r="Z81" s="21">
        <v>1.5</v>
      </c>
      <c r="AA81" s="21">
        <v>1.5</v>
      </c>
      <c r="AB81" s="21">
        <v>1.5</v>
      </c>
      <c r="AC81" s="21">
        <v>1.5</v>
      </c>
      <c r="AD81" s="21">
        <v>1.5</v>
      </c>
      <c r="AE81" s="21">
        <v>1.5</v>
      </c>
      <c r="AF81" s="24"/>
      <c r="AG81" s="24"/>
      <c r="AH81" s="24"/>
      <c r="AI81" s="24"/>
      <c r="AJ81" s="24"/>
      <c r="AK81" s="35" t="s">
        <v>28</v>
      </c>
      <c r="AL81" s="21">
        <v>1.5</v>
      </c>
      <c r="AM81" s="21">
        <v>1.5</v>
      </c>
      <c r="AN81" s="21">
        <v>1.5</v>
      </c>
      <c r="AO81" s="21">
        <v>1.5</v>
      </c>
      <c r="AP81" s="21">
        <v>1.5</v>
      </c>
      <c r="AQ81" s="21">
        <v>1.5</v>
      </c>
      <c r="AR81" s="21">
        <v>1.5</v>
      </c>
      <c r="AS81" s="21">
        <v>1.5</v>
      </c>
      <c r="AT81" s="21">
        <v>1.5</v>
      </c>
      <c r="AU81" s="21">
        <v>1.5</v>
      </c>
      <c r="AV81" s="21">
        <v>1.5</v>
      </c>
      <c r="AW81" s="21">
        <v>1.5</v>
      </c>
      <c r="AX81" s="24"/>
      <c r="AY81" s="24"/>
      <c r="AZ81" s="24"/>
      <c r="BA81" s="24"/>
      <c r="BB81" s="24"/>
    </row>
    <row r="82" spans="1:54">
      <c r="A82" s="35" t="s">
        <v>29</v>
      </c>
      <c r="B82" s="26">
        <f t="shared" ref="B82:M82" si="69">+B80*B81</f>
        <v>70604.064999999988</v>
      </c>
      <c r="C82" s="26">
        <f t="shared" si="69"/>
        <v>70604.064999999988</v>
      </c>
      <c r="D82" s="26">
        <f t="shared" si="69"/>
        <v>70604.064999999988</v>
      </c>
      <c r="E82" s="26">
        <f t="shared" si="69"/>
        <v>70604.064999999988</v>
      </c>
      <c r="F82" s="26">
        <f t="shared" si="69"/>
        <v>70604.064999999988</v>
      </c>
      <c r="G82" s="26">
        <f t="shared" si="69"/>
        <v>70604.064999999988</v>
      </c>
      <c r="H82" s="26">
        <f t="shared" si="69"/>
        <v>70604.064999999988</v>
      </c>
      <c r="I82" s="26">
        <f t="shared" si="69"/>
        <v>70791.71699999999</v>
      </c>
      <c r="J82" s="26">
        <f t="shared" si="69"/>
        <v>70791.71699999999</v>
      </c>
      <c r="K82" s="26">
        <f t="shared" si="69"/>
        <v>70791.71699999999</v>
      </c>
      <c r="L82" s="26">
        <f t="shared" si="69"/>
        <v>70791.71699999999</v>
      </c>
      <c r="M82" s="26">
        <f t="shared" si="69"/>
        <v>70791.71699999999</v>
      </c>
      <c r="N82" s="26">
        <f>SUM(B82:M82)</f>
        <v>848187.03999999969</v>
      </c>
      <c r="O82" s="24"/>
      <c r="P82" s="24"/>
      <c r="Q82" s="24"/>
      <c r="R82" s="24"/>
      <c r="S82" s="35" t="s">
        <v>29</v>
      </c>
      <c r="T82" s="26">
        <f t="shared" ref="T82:AE82" si="70">+T80*T81</f>
        <v>70369.5</v>
      </c>
      <c r="U82" s="26">
        <f t="shared" si="70"/>
        <v>70369.5</v>
      </c>
      <c r="V82" s="26">
        <f t="shared" si="70"/>
        <v>70369.5</v>
      </c>
      <c r="W82" s="26">
        <f t="shared" si="70"/>
        <v>70369.5</v>
      </c>
      <c r="X82" s="26">
        <f t="shared" si="70"/>
        <v>70369.5</v>
      </c>
      <c r="Y82" s="26">
        <f t="shared" si="70"/>
        <v>70369.5</v>
      </c>
      <c r="Z82" s="26">
        <f t="shared" si="70"/>
        <v>70369.5</v>
      </c>
      <c r="AA82" s="26">
        <f t="shared" si="70"/>
        <v>70369.5</v>
      </c>
      <c r="AB82" s="26">
        <f t="shared" si="70"/>
        <v>70369.5</v>
      </c>
      <c r="AC82" s="26">
        <f t="shared" si="70"/>
        <v>70369.5</v>
      </c>
      <c r="AD82" s="26">
        <f t="shared" si="70"/>
        <v>70369.5</v>
      </c>
      <c r="AE82" s="26">
        <f t="shared" si="70"/>
        <v>70369.5</v>
      </c>
      <c r="AF82" s="26">
        <f>SUM(T82:AE82)</f>
        <v>844434</v>
      </c>
      <c r="AG82" s="24"/>
      <c r="AH82" s="24"/>
      <c r="AI82" s="24"/>
      <c r="AJ82" s="24"/>
      <c r="AK82" s="35" t="s">
        <v>29</v>
      </c>
      <c r="AL82" s="26">
        <f t="shared" ref="AL82:AW82" si="71">+AL80*AL81</f>
        <v>70369.5</v>
      </c>
      <c r="AM82" s="26">
        <f t="shared" si="71"/>
        <v>70369.5</v>
      </c>
      <c r="AN82" s="26">
        <f t="shared" si="71"/>
        <v>70369.5</v>
      </c>
      <c r="AO82" s="26">
        <f t="shared" si="71"/>
        <v>70369.5</v>
      </c>
      <c r="AP82" s="26">
        <f t="shared" si="71"/>
        <v>70369.5</v>
      </c>
      <c r="AQ82" s="26">
        <f t="shared" si="71"/>
        <v>70369.5</v>
      </c>
      <c r="AR82" s="26">
        <f t="shared" si="71"/>
        <v>70369.5</v>
      </c>
      <c r="AS82" s="26">
        <f t="shared" si="71"/>
        <v>70369.5</v>
      </c>
      <c r="AT82" s="26">
        <f t="shared" si="71"/>
        <v>70369.5</v>
      </c>
      <c r="AU82" s="26">
        <f t="shared" si="71"/>
        <v>70369.5</v>
      </c>
      <c r="AV82" s="26">
        <f t="shared" si="71"/>
        <v>70369.5</v>
      </c>
      <c r="AW82" s="26">
        <f t="shared" si="71"/>
        <v>70369.5</v>
      </c>
      <c r="AX82" s="26">
        <f>SUM(AL82:AW82)</f>
        <v>844434</v>
      </c>
      <c r="AY82" s="24"/>
      <c r="AZ82" s="24"/>
      <c r="BA82" s="24"/>
      <c r="BB82" s="24"/>
    </row>
    <row r="83" spans="1:54">
      <c r="A83" s="35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35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35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</row>
    <row r="84" spans="1:54">
      <c r="A84" s="35" t="s">
        <v>30</v>
      </c>
      <c r="B84" s="285">
        <f>2473266+285000</f>
        <v>2758266</v>
      </c>
      <c r="C84" s="285">
        <f>2473266+285000</f>
        <v>2758266</v>
      </c>
      <c r="D84" s="285">
        <f>2473266+285000</f>
        <v>2758266</v>
      </c>
      <c r="E84" s="285">
        <f>2473266+285000</f>
        <v>2758266</v>
      </c>
      <c r="F84" s="285">
        <f t="shared" ref="F84:M84" si="72">2473266+285000</f>
        <v>2758266</v>
      </c>
      <c r="G84" s="285">
        <f t="shared" si="72"/>
        <v>2758266</v>
      </c>
      <c r="H84" s="285">
        <f t="shared" si="72"/>
        <v>2758266</v>
      </c>
      <c r="I84" s="285">
        <f t="shared" si="72"/>
        <v>2758266</v>
      </c>
      <c r="J84" s="285">
        <f t="shared" si="72"/>
        <v>2758266</v>
      </c>
      <c r="K84" s="285">
        <f t="shared" si="72"/>
        <v>2758266</v>
      </c>
      <c r="L84" s="285">
        <f t="shared" si="72"/>
        <v>2758266</v>
      </c>
      <c r="M84" s="285">
        <f t="shared" si="72"/>
        <v>2758266</v>
      </c>
      <c r="N84" s="285"/>
      <c r="O84" s="285"/>
      <c r="P84" s="285"/>
      <c r="Q84" s="285"/>
      <c r="R84" s="285"/>
      <c r="S84" s="35" t="s">
        <v>30</v>
      </c>
      <c r="T84" s="285">
        <f>2473266+285000</f>
        <v>2758266</v>
      </c>
      <c r="U84" s="285">
        <f>2473266+285000</f>
        <v>2758266</v>
      </c>
      <c r="V84" s="285">
        <f>2473266+285000</f>
        <v>2758266</v>
      </c>
      <c r="W84" s="285">
        <f>2473266+285000</f>
        <v>2758266</v>
      </c>
      <c r="X84" s="285">
        <f t="shared" ref="X84:AE84" si="73">2473266+285000</f>
        <v>2758266</v>
      </c>
      <c r="Y84" s="285">
        <f t="shared" si="73"/>
        <v>2758266</v>
      </c>
      <c r="Z84" s="285">
        <f t="shared" si="73"/>
        <v>2758266</v>
      </c>
      <c r="AA84" s="285">
        <f t="shared" si="73"/>
        <v>2758266</v>
      </c>
      <c r="AB84" s="285">
        <f t="shared" si="73"/>
        <v>2758266</v>
      </c>
      <c r="AC84" s="285">
        <f t="shared" si="73"/>
        <v>2758266</v>
      </c>
      <c r="AD84" s="285">
        <f t="shared" si="73"/>
        <v>2758266</v>
      </c>
      <c r="AE84" s="285">
        <f t="shared" si="73"/>
        <v>2758266</v>
      </c>
      <c r="AF84" s="285">
        <f>2473266+(5000*57)</f>
        <v>2758266</v>
      </c>
      <c r="AG84" s="285"/>
      <c r="AH84" s="285"/>
      <c r="AI84" s="285"/>
      <c r="AJ84" s="285"/>
      <c r="AK84" s="35" t="s">
        <v>30</v>
      </c>
      <c r="AL84" s="285">
        <f>2473266+285000</f>
        <v>2758266</v>
      </c>
      <c r="AM84" s="285">
        <f>2473266+285000</f>
        <v>2758266</v>
      </c>
      <c r="AN84" s="285">
        <f>2473266+285000</f>
        <v>2758266</v>
      </c>
      <c r="AO84" s="285">
        <f>2473266+285000</f>
        <v>2758266</v>
      </c>
      <c r="AP84" s="285">
        <f t="shared" ref="AP84:AW84" si="74">2473266+285000</f>
        <v>2758266</v>
      </c>
      <c r="AQ84" s="285">
        <f t="shared" si="74"/>
        <v>2758266</v>
      </c>
      <c r="AR84" s="285">
        <f t="shared" si="74"/>
        <v>2758266</v>
      </c>
      <c r="AS84" s="285">
        <f t="shared" si="74"/>
        <v>2758266</v>
      </c>
      <c r="AT84" s="285">
        <f t="shared" si="74"/>
        <v>2758266</v>
      </c>
      <c r="AU84" s="285">
        <f t="shared" si="74"/>
        <v>2758266</v>
      </c>
      <c r="AV84" s="285">
        <f t="shared" si="74"/>
        <v>2758266</v>
      </c>
      <c r="AW84" s="285">
        <f t="shared" si="74"/>
        <v>2758266</v>
      </c>
      <c r="AX84" s="285">
        <f>2473266+(5000*57)</f>
        <v>2758266</v>
      </c>
      <c r="AY84" s="285"/>
      <c r="AZ84" s="285"/>
      <c r="BA84" s="285"/>
      <c r="BB84" s="285"/>
    </row>
    <row r="85" spans="1:54">
      <c r="A85" s="35" t="s">
        <v>28</v>
      </c>
      <c r="B85" s="415">
        <v>2.8899999999999999E-2</v>
      </c>
      <c r="C85" s="415">
        <v>2.8899999999999999E-2</v>
      </c>
      <c r="D85" s="415">
        <v>2.8899999999999999E-2</v>
      </c>
      <c r="E85" s="415">
        <v>2.8899999999999999E-2</v>
      </c>
      <c r="F85" s="415">
        <v>2.8899999999999999E-2</v>
      </c>
      <c r="G85" s="415">
        <v>2.8899999999999999E-2</v>
      </c>
      <c r="H85" s="415">
        <v>2.8899999999999999E-2</v>
      </c>
      <c r="I85" s="415">
        <v>2.8899999999999999E-2</v>
      </c>
      <c r="J85" s="415">
        <v>2.8899999999999999E-2</v>
      </c>
      <c r="K85" s="415">
        <v>2.8899999999999999E-2</v>
      </c>
      <c r="L85" s="415">
        <v>2.8899999999999999E-2</v>
      </c>
      <c r="M85" s="415">
        <v>2.8899999999999999E-2</v>
      </c>
      <c r="N85" s="21"/>
      <c r="O85" s="21"/>
      <c r="P85" s="21"/>
      <c r="Q85" s="21"/>
      <c r="R85" s="21"/>
      <c r="S85" s="35" t="s">
        <v>28</v>
      </c>
      <c r="T85" s="21">
        <v>0.03</v>
      </c>
      <c r="U85" s="21">
        <v>0.03</v>
      </c>
      <c r="V85" s="21">
        <v>0.03</v>
      </c>
      <c r="W85" s="21">
        <v>0.03</v>
      </c>
      <c r="X85" s="21">
        <v>0.03</v>
      </c>
      <c r="Y85" s="21">
        <v>0.03</v>
      </c>
      <c r="Z85" s="21">
        <v>0.03</v>
      </c>
      <c r="AA85" s="21">
        <v>0.03</v>
      </c>
      <c r="AB85" s="21">
        <v>0.03</v>
      </c>
      <c r="AC85" s="21">
        <v>0.03</v>
      </c>
      <c r="AD85" s="21">
        <v>0.03</v>
      </c>
      <c r="AE85" s="21">
        <v>0.03</v>
      </c>
      <c r="AF85" s="21">
        <v>2.5000000000000001E-2</v>
      </c>
      <c r="AG85" s="21"/>
      <c r="AH85" s="21"/>
      <c r="AI85" s="21"/>
      <c r="AJ85" s="21"/>
      <c r="AK85" s="35" t="s">
        <v>28</v>
      </c>
      <c r="AL85" s="21">
        <v>0.03</v>
      </c>
      <c r="AM85" s="21">
        <v>0.03</v>
      </c>
      <c r="AN85" s="21">
        <v>0.03</v>
      </c>
      <c r="AO85" s="21">
        <v>0.03</v>
      </c>
      <c r="AP85" s="21">
        <v>0.03</v>
      </c>
      <c r="AQ85" s="21">
        <v>0.03</v>
      </c>
      <c r="AR85" s="21">
        <v>0.03</v>
      </c>
      <c r="AS85" s="21">
        <v>0.03</v>
      </c>
      <c r="AT85" s="21">
        <v>0.03</v>
      </c>
      <c r="AU85" s="21">
        <v>0.03</v>
      </c>
      <c r="AV85" s="21">
        <v>0.03</v>
      </c>
      <c r="AW85" s="21">
        <v>0.03</v>
      </c>
      <c r="AX85" s="21">
        <v>2.5000000000000001E-2</v>
      </c>
      <c r="AY85" s="21"/>
      <c r="AZ85" s="21"/>
      <c r="BA85" s="21"/>
      <c r="BB85" s="21"/>
    </row>
    <row r="86" spans="1:54">
      <c r="A86" s="35" t="s">
        <v>29</v>
      </c>
      <c r="B86" s="26">
        <f t="shared" ref="B86:M86" si="75">+B84*B85</f>
        <v>79713.887399999992</v>
      </c>
      <c r="C86" s="26">
        <f t="shared" si="75"/>
        <v>79713.887399999992</v>
      </c>
      <c r="D86" s="26">
        <f t="shared" si="75"/>
        <v>79713.887399999992</v>
      </c>
      <c r="E86" s="26">
        <f t="shared" si="75"/>
        <v>79713.887399999992</v>
      </c>
      <c r="F86" s="26">
        <f t="shared" si="75"/>
        <v>79713.887399999992</v>
      </c>
      <c r="G86" s="26">
        <f t="shared" si="75"/>
        <v>79713.887399999992</v>
      </c>
      <c r="H86" s="26">
        <f t="shared" si="75"/>
        <v>79713.887399999992</v>
      </c>
      <c r="I86" s="26">
        <f t="shared" si="75"/>
        <v>79713.887399999992</v>
      </c>
      <c r="J86" s="26">
        <f t="shared" si="75"/>
        <v>79713.887399999992</v>
      </c>
      <c r="K86" s="26">
        <f t="shared" si="75"/>
        <v>79713.887399999992</v>
      </c>
      <c r="L86" s="26">
        <f t="shared" si="75"/>
        <v>79713.887399999992</v>
      </c>
      <c r="M86" s="26">
        <f t="shared" si="75"/>
        <v>79713.887399999992</v>
      </c>
      <c r="N86" s="26">
        <f>SUM(B86:M86)</f>
        <v>956566.64879999997</v>
      </c>
      <c r="O86" s="24"/>
      <c r="P86" s="24"/>
      <c r="Q86" s="24"/>
      <c r="R86" s="24"/>
      <c r="S86" s="35" t="s">
        <v>29</v>
      </c>
      <c r="T86" s="26">
        <f t="shared" ref="T86:AE86" si="76">+T84*T85</f>
        <v>82747.98</v>
      </c>
      <c r="U86" s="26">
        <f t="shared" si="76"/>
        <v>82747.98</v>
      </c>
      <c r="V86" s="26">
        <f t="shared" si="76"/>
        <v>82747.98</v>
      </c>
      <c r="W86" s="26">
        <f t="shared" si="76"/>
        <v>82747.98</v>
      </c>
      <c r="X86" s="26">
        <f t="shared" si="76"/>
        <v>82747.98</v>
      </c>
      <c r="Y86" s="26">
        <f t="shared" si="76"/>
        <v>82747.98</v>
      </c>
      <c r="Z86" s="26">
        <f t="shared" si="76"/>
        <v>82747.98</v>
      </c>
      <c r="AA86" s="26">
        <f t="shared" si="76"/>
        <v>82747.98</v>
      </c>
      <c r="AB86" s="26">
        <f t="shared" si="76"/>
        <v>82747.98</v>
      </c>
      <c r="AC86" s="26">
        <f t="shared" si="76"/>
        <v>82747.98</v>
      </c>
      <c r="AD86" s="26">
        <f t="shared" si="76"/>
        <v>82747.98</v>
      </c>
      <c r="AE86" s="26">
        <f t="shared" si="76"/>
        <v>82747.98</v>
      </c>
      <c r="AF86" s="26">
        <f>SUM(T86:AE86)</f>
        <v>992975.75999999989</v>
      </c>
      <c r="AG86" s="24"/>
      <c r="AH86" s="24"/>
      <c r="AI86" s="24"/>
      <c r="AJ86" s="24"/>
      <c r="AK86" s="35" t="s">
        <v>29</v>
      </c>
      <c r="AL86" s="26">
        <f t="shared" ref="AL86:AW86" si="77">+AL84*AL85</f>
        <v>82747.98</v>
      </c>
      <c r="AM86" s="26">
        <f t="shared" si="77"/>
        <v>82747.98</v>
      </c>
      <c r="AN86" s="26">
        <f t="shared" si="77"/>
        <v>82747.98</v>
      </c>
      <c r="AO86" s="26">
        <f t="shared" si="77"/>
        <v>82747.98</v>
      </c>
      <c r="AP86" s="26">
        <f t="shared" si="77"/>
        <v>82747.98</v>
      </c>
      <c r="AQ86" s="26">
        <f t="shared" si="77"/>
        <v>82747.98</v>
      </c>
      <c r="AR86" s="26">
        <f t="shared" si="77"/>
        <v>82747.98</v>
      </c>
      <c r="AS86" s="26">
        <f t="shared" si="77"/>
        <v>82747.98</v>
      </c>
      <c r="AT86" s="26">
        <f t="shared" si="77"/>
        <v>82747.98</v>
      </c>
      <c r="AU86" s="26">
        <f t="shared" si="77"/>
        <v>82747.98</v>
      </c>
      <c r="AV86" s="26">
        <f t="shared" si="77"/>
        <v>82747.98</v>
      </c>
      <c r="AW86" s="26">
        <f t="shared" si="77"/>
        <v>82747.98</v>
      </c>
      <c r="AX86" s="26">
        <f>SUM(AL86:AW86)</f>
        <v>992975.75999999989</v>
      </c>
      <c r="AY86" s="24"/>
      <c r="AZ86" s="24"/>
      <c r="BA86" s="24"/>
      <c r="BB86" s="24"/>
    </row>
    <row r="87" spans="1:54">
      <c r="A87" s="35" t="s">
        <v>778</v>
      </c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4"/>
      <c r="P87" s="24"/>
      <c r="Q87" s="24"/>
      <c r="R87" s="24"/>
      <c r="S87" s="35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4"/>
      <c r="AH87" s="24"/>
      <c r="AI87" s="24"/>
      <c r="AJ87" s="24"/>
      <c r="AK87" s="35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  <c r="AX87" s="26"/>
      <c r="AY87" s="24"/>
      <c r="AZ87" s="24"/>
      <c r="BA87" s="24"/>
      <c r="BB87" s="24"/>
    </row>
    <row r="88" spans="1:54" ht="21" thickBot="1">
      <c r="A88" s="339" t="s">
        <v>31</v>
      </c>
      <c r="B88" s="40">
        <f>SUM(B74,B78,B82,B86)</f>
        <v>234339.6911</v>
      </c>
      <c r="C88" s="40">
        <f>SUM(C74,C78,C82,C86)</f>
        <v>234339.6911</v>
      </c>
      <c r="D88" s="40">
        <f t="shared" ref="D88:M88" si="78">SUM(D74,D78,D82,D86)</f>
        <v>234339.6911</v>
      </c>
      <c r="E88" s="40">
        <f t="shared" si="78"/>
        <v>234339.6911</v>
      </c>
      <c r="F88" s="40">
        <f t="shared" si="78"/>
        <v>234017.85269999999</v>
      </c>
      <c r="G88" s="40">
        <f t="shared" si="78"/>
        <v>234017.85269999999</v>
      </c>
      <c r="H88" s="40">
        <f t="shared" si="78"/>
        <v>234017.85269999999</v>
      </c>
      <c r="I88" s="40">
        <f t="shared" si="78"/>
        <v>234205.50469999999</v>
      </c>
      <c r="J88" s="40">
        <f t="shared" si="78"/>
        <v>234205.50469999999</v>
      </c>
      <c r="K88" s="40">
        <f t="shared" si="78"/>
        <v>234205.50469999999</v>
      </c>
      <c r="L88" s="40">
        <f t="shared" si="78"/>
        <v>234205.50469999999</v>
      </c>
      <c r="M88" s="40">
        <f t="shared" si="78"/>
        <v>234205.50469999999</v>
      </c>
      <c r="N88" s="40">
        <f>SUM(B88:M88)</f>
        <v>2810439.8459999994</v>
      </c>
      <c r="O88" s="39"/>
      <c r="P88" s="28"/>
      <c r="Q88" s="17"/>
      <c r="R88" s="17"/>
      <c r="S88" s="339" t="s">
        <v>31</v>
      </c>
      <c r="T88" s="40">
        <f>SUM(T74,T78,T82,T86)</f>
        <v>238354.76499999996</v>
      </c>
      <c r="U88" s="40">
        <f>SUM(U74,U78,U82,U86)</f>
        <v>238354.76499999996</v>
      </c>
      <c r="V88" s="40">
        <f t="shared" ref="V88:AE88" si="79">SUM(V74,V78,V82,V86)</f>
        <v>238354.76499999996</v>
      </c>
      <c r="W88" s="40">
        <f t="shared" si="79"/>
        <v>238354.76499999996</v>
      </c>
      <c r="X88" s="40">
        <f t="shared" si="79"/>
        <v>238354.76499999996</v>
      </c>
      <c r="Y88" s="40">
        <f t="shared" si="79"/>
        <v>238354.76499999996</v>
      </c>
      <c r="Z88" s="40">
        <f t="shared" si="79"/>
        <v>238354.76499999996</v>
      </c>
      <c r="AA88" s="40">
        <f t="shared" si="79"/>
        <v>238354.76499999996</v>
      </c>
      <c r="AB88" s="40">
        <f t="shared" si="79"/>
        <v>238354.76499999996</v>
      </c>
      <c r="AC88" s="40">
        <f t="shared" si="79"/>
        <v>238354.76499999996</v>
      </c>
      <c r="AD88" s="40">
        <f t="shared" si="79"/>
        <v>238354.76499999996</v>
      </c>
      <c r="AE88" s="40">
        <f t="shared" si="79"/>
        <v>238354.76499999996</v>
      </c>
      <c r="AF88" s="40">
        <f>SUM(T88:AE88)</f>
        <v>2860257.1799999997</v>
      </c>
      <c r="AG88" s="39"/>
      <c r="AH88" s="28"/>
      <c r="AI88" s="17"/>
      <c r="AJ88" s="17"/>
      <c r="AK88" s="339" t="s">
        <v>31</v>
      </c>
      <c r="AL88" s="40">
        <f>SUM(AL74,AL78,AL82,AL86)</f>
        <v>238354.76499999996</v>
      </c>
      <c r="AM88" s="40">
        <f>SUM(AM74,AM78,AM82,AM86)</f>
        <v>238354.76499999996</v>
      </c>
      <c r="AN88" s="40">
        <f t="shared" ref="AN88:AW88" si="80">SUM(AN74,AN78,AN82,AN86)</f>
        <v>238354.76499999996</v>
      </c>
      <c r="AO88" s="40">
        <f t="shared" si="80"/>
        <v>238354.76499999996</v>
      </c>
      <c r="AP88" s="40">
        <f t="shared" si="80"/>
        <v>238354.76499999996</v>
      </c>
      <c r="AQ88" s="40">
        <f t="shared" si="80"/>
        <v>238354.76499999996</v>
      </c>
      <c r="AR88" s="40">
        <f t="shared" si="80"/>
        <v>238354.76499999996</v>
      </c>
      <c r="AS88" s="40">
        <f t="shared" si="80"/>
        <v>238354.76499999996</v>
      </c>
      <c r="AT88" s="40">
        <f t="shared" si="80"/>
        <v>238354.76499999996</v>
      </c>
      <c r="AU88" s="40">
        <f t="shared" si="80"/>
        <v>238354.76499999996</v>
      </c>
      <c r="AV88" s="40">
        <f t="shared" si="80"/>
        <v>238354.76499999996</v>
      </c>
      <c r="AW88" s="40">
        <f t="shared" si="80"/>
        <v>238354.76499999996</v>
      </c>
      <c r="AX88" s="40">
        <f>SUM(AL88:AW88)</f>
        <v>2860257.1799999997</v>
      </c>
      <c r="AY88" s="39"/>
      <c r="AZ88" s="28"/>
      <c r="BA88" s="17"/>
      <c r="BB88" s="17"/>
    </row>
    <row r="89" spans="1:54" ht="21" thickTop="1">
      <c r="A89" s="341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24"/>
      <c r="P89" s="24"/>
      <c r="Q89" s="24"/>
      <c r="R89" s="24"/>
      <c r="S89" s="3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24"/>
      <c r="AH89" s="24"/>
      <c r="AI89" s="24"/>
      <c r="AJ89" s="24"/>
      <c r="AK89" s="341"/>
      <c r="AL89" s="41"/>
      <c r="AM89" s="41"/>
      <c r="AN89" s="41"/>
      <c r="AO89" s="41"/>
      <c r="AP89" s="41"/>
      <c r="AQ89" s="41"/>
      <c r="AR89" s="41"/>
      <c r="AS89" s="41"/>
      <c r="AT89" s="41"/>
      <c r="AU89" s="41"/>
      <c r="AV89" s="41"/>
      <c r="AW89" s="41"/>
      <c r="AX89" s="41"/>
      <c r="AY89" s="24"/>
      <c r="AZ89" s="24"/>
      <c r="BA89" s="24"/>
      <c r="BB89" s="24"/>
    </row>
    <row r="90" spans="1:54">
      <c r="A90" s="170" t="s">
        <v>32</v>
      </c>
      <c r="B90" s="26">
        <f t="shared" ref="B90:M90" si="81">SUM(B54,B58,B62,B74,B78)</f>
        <v>228921.73869999999</v>
      </c>
      <c r="C90" s="26">
        <f t="shared" si="81"/>
        <v>228921.73869999999</v>
      </c>
      <c r="D90" s="26">
        <f t="shared" si="81"/>
        <v>228921.73869999999</v>
      </c>
      <c r="E90" s="26">
        <f t="shared" si="81"/>
        <v>228921.73869999999</v>
      </c>
      <c r="F90" s="26">
        <f t="shared" si="81"/>
        <v>275641.48430000001</v>
      </c>
      <c r="G90" s="26">
        <f t="shared" si="81"/>
        <v>275641.48430000001</v>
      </c>
      <c r="H90" s="26">
        <f t="shared" si="81"/>
        <v>275641.48430000001</v>
      </c>
      <c r="I90" s="26">
        <f t="shared" si="81"/>
        <v>275641.48430000001</v>
      </c>
      <c r="J90" s="26">
        <f t="shared" si="81"/>
        <v>275641.48430000001</v>
      </c>
      <c r="K90" s="26">
        <f t="shared" si="81"/>
        <v>228529.90029999998</v>
      </c>
      <c r="L90" s="26">
        <f t="shared" si="81"/>
        <v>228529.90029999998</v>
      </c>
      <c r="M90" s="26">
        <f t="shared" si="81"/>
        <v>228529.90029999998</v>
      </c>
      <c r="N90" s="26">
        <f>SUM(B90:M90)</f>
        <v>2979484.0772000002</v>
      </c>
      <c r="O90" s="39">
        <f>N90/12</f>
        <v>248290.33976666667</v>
      </c>
      <c r="P90" s="28">
        <v>30946</v>
      </c>
      <c r="Q90" s="195">
        <f>O90/P90</f>
        <v>8.023341942954394</v>
      </c>
      <c r="R90" s="195">
        <f>(Q90*1.04)/(1-0.025)</f>
        <v>8.558231405818022</v>
      </c>
      <c r="S90" s="170" t="s">
        <v>32</v>
      </c>
      <c r="T90" s="26">
        <f t="shared" ref="T90:AE90" si="82">SUM(T54,T58,T62,T74,T78)</f>
        <v>231237.285</v>
      </c>
      <c r="U90" s="26">
        <f t="shared" si="82"/>
        <v>231237.285</v>
      </c>
      <c r="V90" s="26">
        <f t="shared" si="82"/>
        <v>231237.285</v>
      </c>
      <c r="W90" s="26">
        <f t="shared" si="82"/>
        <v>231237.285</v>
      </c>
      <c r="X90" s="26">
        <f t="shared" si="82"/>
        <v>278852.38500000001</v>
      </c>
      <c r="Y90" s="26">
        <f t="shared" si="82"/>
        <v>278852.38500000001</v>
      </c>
      <c r="Z90" s="26">
        <f t="shared" si="82"/>
        <v>278852.38500000001</v>
      </c>
      <c r="AA90" s="26">
        <f t="shared" si="82"/>
        <v>278852.38500000001</v>
      </c>
      <c r="AB90" s="26">
        <f t="shared" si="82"/>
        <v>278852.38500000001</v>
      </c>
      <c r="AC90" s="26">
        <f t="shared" si="82"/>
        <v>231237.285</v>
      </c>
      <c r="AD90" s="26">
        <f t="shared" si="82"/>
        <v>231237.285</v>
      </c>
      <c r="AE90" s="26">
        <f t="shared" si="82"/>
        <v>231237.285</v>
      </c>
      <c r="AF90" s="26">
        <f>SUM(T90:AE90)</f>
        <v>3012922.9200000004</v>
      </c>
      <c r="AG90" s="39">
        <f>AF90/12</f>
        <v>251076.91000000003</v>
      </c>
      <c r="AH90" s="28">
        <v>30946</v>
      </c>
      <c r="AI90" s="17">
        <f>AG90/AH90</f>
        <v>8.1133881600206816</v>
      </c>
      <c r="AJ90" s="195">
        <f>(AI90*1.04)/(1-0.025)</f>
        <v>8.654280704022062</v>
      </c>
      <c r="AK90" s="170" t="s">
        <v>32</v>
      </c>
      <c r="AL90" s="26">
        <f t="shared" ref="AL90:AW90" si="83">SUM(AL54,AL58,AL62,AL74,AL78)</f>
        <v>231237.285</v>
      </c>
      <c r="AM90" s="26">
        <f t="shared" si="83"/>
        <v>231237.285</v>
      </c>
      <c r="AN90" s="26">
        <f t="shared" si="83"/>
        <v>231237.285</v>
      </c>
      <c r="AO90" s="26">
        <f t="shared" si="83"/>
        <v>231237.285</v>
      </c>
      <c r="AP90" s="26">
        <f t="shared" si="83"/>
        <v>278852.38500000001</v>
      </c>
      <c r="AQ90" s="26">
        <f t="shared" si="83"/>
        <v>278852.38500000001</v>
      </c>
      <c r="AR90" s="26">
        <f t="shared" si="83"/>
        <v>278852.38500000001</v>
      </c>
      <c r="AS90" s="26">
        <f t="shared" si="83"/>
        <v>278852.38500000001</v>
      </c>
      <c r="AT90" s="26">
        <f t="shared" si="83"/>
        <v>278852.38500000001</v>
      </c>
      <c r="AU90" s="26">
        <f t="shared" si="83"/>
        <v>231237.285</v>
      </c>
      <c r="AV90" s="26">
        <f t="shared" si="83"/>
        <v>231237.285</v>
      </c>
      <c r="AW90" s="26">
        <f t="shared" si="83"/>
        <v>231237.285</v>
      </c>
      <c r="AX90" s="26">
        <f>SUM(AL90:AW90)</f>
        <v>3012922.9200000004</v>
      </c>
      <c r="AY90" s="39">
        <f>AX90/12</f>
        <v>251076.91000000003</v>
      </c>
      <c r="AZ90" s="28">
        <v>30946</v>
      </c>
      <c r="BA90" s="17">
        <f>AY90/AZ90</f>
        <v>8.1133881600206816</v>
      </c>
      <c r="BB90" s="195">
        <f>(BA90*1.04)/(1-0.025)</f>
        <v>8.654280704022062</v>
      </c>
    </row>
    <row r="91" spans="1:54">
      <c r="A91" s="35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4"/>
      <c r="P91" s="24"/>
      <c r="Q91" s="24"/>
      <c r="R91" s="24"/>
      <c r="S91" s="35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4"/>
      <c r="AH91" s="24"/>
      <c r="AI91" s="24"/>
      <c r="AJ91" s="24"/>
      <c r="AK91" s="35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  <c r="AX91" s="26"/>
      <c r="AY91" s="24"/>
      <c r="AZ91" s="24"/>
      <c r="BA91" s="24"/>
      <c r="BB91" s="24"/>
    </row>
    <row r="92" spans="1:54">
      <c r="A92" s="170" t="s">
        <v>33</v>
      </c>
      <c r="B92" s="26">
        <f>SUM(B66,B82,B86)</f>
        <v>287116.26039999997</v>
      </c>
      <c r="C92" s="26">
        <f t="shared" ref="C92:M92" si="84">SUM(C66,C82,C86)</f>
        <v>287116.26039999997</v>
      </c>
      <c r="D92" s="26">
        <f t="shared" si="84"/>
        <v>288523.65039999998</v>
      </c>
      <c r="E92" s="26">
        <f t="shared" si="84"/>
        <v>426729.34840000002</v>
      </c>
      <c r="F92" s="26">
        <f t="shared" si="84"/>
        <v>426729.34840000002</v>
      </c>
      <c r="G92" s="26">
        <f t="shared" si="84"/>
        <v>426729.34840000002</v>
      </c>
      <c r="H92" s="26">
        <f t="shared" si="84"/>
        <v>426729.34840000002</v>
      </c>
      <c r="I92" s="26">
        <f t="shared" si="84"/>
        <v>428230.56440000003</v>
      </c>
      <c r="J92" s="26">
        <f t="shared" si="84"/>
        <v>428183.65139999997</v>
      </c>
      <c r="K92" s="26">
        <f t="shared" si="84"/>
        <v>289344.62789999996</v>
      </c>
      <c r="L92" s="26">
        <f t="shared" si="84"/>
        <v>289344.62789999996</v>
      </c>
      <c r="M92" s="26">
        <f t="shared" si="84"/>
        <v>289344.62789999996</v>
      </c>
      <c r="N92" s="26">
        <f>SUM(B92:M92)</f>
        <v>4294121.6642999994</v>
      </c>
      <c r="O92" s="39">
        <f>N92/12</f>
        <v>357843.47202499997</v>
      </c>
      <c r="P92" s="28">
        <v>46913</v>
      </c>
      <c r="Q92" s="195">
        <f>O92/P92</f>
        <v>7.6278104581885611</v>
      </c>
      <c r="R92" s="195">
        <f>(Q92*1.04)/(1-0.025)</f>
        <v>8.1363311554011322</v>
      </c>
      <c r="S92" s="170" t="s">
        <v>33</v>
      </c>
      <c r="T92" s="26">
        <f>SUM(T66,T82,T86)</f>
        <v>291510.83</v>
      </c>
      <c r="U92" s="26">
        <f t="shared" ref="U92:AE92" si="85">SUM(U66,U82,U86)</f>
        <v>291510.83</v>
      </c>
      <c r="V92" s="26">
        <f t="shared" si="85"/>
        <v>291510.83</v>
      </c>
      <c r="W92" s="26">
        <f t="shared" si="85"/>
        <v>429904.18</v>
      </c>
      <c r="X92" s="26">
        <f t="shared" si="85"/>
        <v>429904.18</v>
      </c>
      <c r="Y92" s="26">
        <f t="shared" si="85"/>
        <v>429904.18</v>
      </c>
      <c r="Z92" s="26">
        <f t="shared" si="85"/>
        <v>429904.18</v>
      </c>
      <c r="AA92" s="26">
        <f t="shared" si="85"/>
        <v>429904.18</v>
      </c>
      <c r="AB92" s="26">
        <f t="shared" si="85"/>
        <v>429904.18</v>
      </c>
      <c r="AC92" s="26">
        <f t="shared" si="85"/>
        <v>291510.83</v>
      </c>
      <c r="AD92" s="26">
        <f t="shared" si="85"/>
        <v>291510.83</v>
      </c>
      <c r="AE92" s="26">
        <f t="shared" si="85"/>
        <v>291510.83</v>
      </c>
      <c r="AF92" s="26">
        <f>SUM(T92:AE92)</f>
        <v>4328490.0600000005</v>
      </c>
      <c r="AG92" s="39">
        <f>AF92/12</f>
        <v>360707.50500000006</v>
      </c>
      <c r="AH92" s="28">
        <v>46913</v>
      </c>
      <c r="AI92" s="17">
        <f>AG92/AH92</f>
        <v>7.6888603372199613</v>
      </c>
      <c r="AJ92" s="195">
        <f>(AI92*1.04)/(1-0.025)</f>
        <v>8.201451026367959</v>
      </c>
      <c r="AK92" s="170" t="s">
        <v>33</v>
      </c>
      <c r="AL92" s="26">
        <f>SUM(AL66,AL82,AL86)</f>
        <v>291510.83</v>
      </c>
      <c r="AM92" s="26">
        <f t="shared" ref="AM92:AW92" si="86">SUM(AM66,AM82,AM86)</f>
        <v>291510.83</v>
      </c>
      <c r="AN92" s="26">
        <f t="shared" si="86"/>
        <v>291510.83</v>
      </c>
      <c r="AO92" s="26">
        <f t="shared" si="86"/>
        <v>429904.18</v>
      </c>
      <c r="AP92" s="26">
        <f t="shared" si="86"/>
        <v>429904.18</v>
      </c>
      <c r="AQ92" s="26">
        <f t="shared" si="86"/>
        <v>429904.18</v>
      </c>
      <c r="AR92" s="26">
        <f t="shared" si="86"/>
        <v>429904.18</v>
      </c>
      <c r="AS92" s="26">
        <f t="shared" si="86"/>
        <v>429904.18</v>
      </c>
      <c r="AT92" s="26">
        <f t="shared" si="86"/>
        <v>429904.18</v>
      </c>
      <c r="AU92" s="26">
        <f t="shared" si="86"/>
        <v>291510.83</v>
      </c>
      <c r="AV92" s="26">
        <f t="shared" si="86"/>
        <v>291510.83</v>
      </c>
      <c r="AW92" s="26">
        <f t="shared" si="86"/>
        <v>291510.83</v>
      </c>
      <c r="AX92" s="26">
        <f>SUM(AL92:AW92)</f>
        <v>4328490.0600000005</v>
      </c>
      <c r="AY92" s="39">
        <f>AX92/12</f>
        <v>360707.50500000006</v>
      </c>
      <c r="AZ92" s="28">
        <v>46913</v>
      </c>
      <c r="BA92" s="17">
        <f>AY92/AZ92</f>
        <v>7.6888603372199613</v>
      </c>
      <c r="BB92" s="195">
        <f>(BA92*1.04)/(1-0.025)</f>
        <v>8.201451026367959</v>
      </c>
    </row>
    <row r="93" spans="1:54">
      <c r="A93" s="341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24"/>
      <c r="P93" s="24"/>
      <c r="Q93" s="24"/>
      <c r="R93" s="24"/>
      <c r="S93" s="3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24"/>
      <c r="AH93" s="24"/>
      <c r="AI93" s="24"/>
      <c r="AJ93" s="24"/>
      <c r="AK93" s="3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  <c r="AY93" s="24"/>
      <c r="AZ93" s="24"/>
      <c r="BA93" s="24"/>
      <c r="BB93" s="24"/>
    </row>
    <row r="94" spans="1:54">
      <c r="A94" s="341" t="s">
        <v>34</v>
      </c>
      <c r="B94" s="41">
        <f>SUM(B90,B92)</f>
        <v>516037.99909999996</v>
      </c>
      <c r="C94" s="41">
        <f>SUM(C90,C92)</f>
        <v>516037.99909999996</v>
      </c>
      <c r="D94" s="41">
        <f t="shared" ref="D94:M94" si="87">SUM(D90,D92)</f>
        <v>517445.38909999997</v>
      </c>
      <c r="E94" s="41">
        <f t="shared" si="87"/>
        <v>655651.0871</v>
      </c>
      <c r="F94" s="41">
        <f t="shared" si="87"/>
        <v>702370.83270000003</v>
      </c>
      <c r="G94" s="41">
        <f t="shared" si="87"/>
        <v>702370.83270000003</v>
      </c>
      <c r="H94" s="41">
        <f t="shared" si="87"/>
        <v>702370.83270000003</v>
      </c>
      <c r="I94" s="41">
        <f t="shared" si="87"/>
        <v>703872.04870000004</v>
      </c>
      <c r="J94" s="41">
        <f t="shared" si="87"/>
        <v>703825.13569999998</v>
      </c>
      <c r="K94" s="41">
        <f t="shared" si="87"/>
        <v>517874.52819999994</v>
      </c>
      <c r="L94" s="41">
        <f t="shared" si="87"/>
        <v>517874.52819999994</v>
      </c>
      <c r="M94" s="41">
        <f t="shared" si="87"/>
        <v>517874.52819999994</v>
      </c>
      <c r="N94" s="26">
        <f>SUM(B94:M94)</f>
        <v>7273605.7414999986</v>
      </c>
      <c r="O94" s="39">
        <f>N94/12</f>
        <v>606133.81179166655</v>
      </c>
      <c r="P94" s="28">
        <f>SUM(P90,P92)</f>
        <v>77859</v>
      </c>
      <c r="Q94" s="195">
        <f>O94/P94</f>
        <v>7.7850192243885301</v>
      </c>
      <c r="R94" s="195">
        <f>(Q94*1.04)/(1-0.025)</f>
        <v>8.3040205060144316</v>
      </c>
      <c r="S94" s="341" t="s">
        <v>34</v>
      </c>
      <c r="T94" s="41">
        <f>SUM(T90,T92)</f>
        <v>522748.11499999999</v>
      </c>
      <c r="U94" s="41">
        <f>SUM(U90,U92)</f>
        <v>522748.11499999999</v>
      </c>
      <c r="V94" s="41">
        <f t="shared" ref="V94:AE94" si="88">SUM(V90,V92)</f>
        <v>522748.11499999999</v>
      </c>
      <c r="W94" s="41">
        <f t="shared" si="88"/>
        <v>661141.46499999997</v>
      </c>
      <c r="X94" s="41">
        <f t="shared" si="88"/>
        <v>708756.56499999994</v>
      </c>
      <c r="Y94" s="41">
        <f t="shared" si="88"/>
        <v>708756.56499999994</v>
      </c>
      <c r="Z94" s="41">
        <f t="shared" si="88"/>
        <v>708756.56499999994</v>
      </c>
      <c r="AA94" s="41">
        <f t="shared" si="88"/>
        <v>708756.56499999994</v>
      </c>
      <c r="AB94" s="41">
        <f t="shared" si="88"/>
        <v>708756.56499999994</v>
      </c>
      <c r="AC94" s="41">
        <f t="shared" si="88"/>
        <v>522748.11499999999</v>
      </c>
      <c r="AD94" s="41">
        <f t="shared" si="88"/>
        <v>522748.11499999999</v>
      </c>
      <c r="AE94" s="41">
        <f t="shared" si="88"/>
        <v>522748.11499999999</v>
      </c>
      <c r="AF94" s="26">
        <f>SUM(T94:AE94)</f>
        <v>7341412.9800000004</v>
      </c>
      <c r="AG94" s="39">
        <f>AF94/12</f>
        <v>611784.41500000004</v>
      </c>
      <c r="AH94" s="28">
        <f>AH90+AH92</f>
        <v>77859</v>
      </c>
      <c r="AI94" s="17">
        <f>AG94/AH94</f>
        <v>7.8575940482153639</v>
      </c>
      <c r="AJ94" s="195">
        <f>(AI94*1.04)/(1-0.025)</f>
        <v>8.3814336514297221</v>
      </c>
      <c r="AK94" s="341" t="s">
        <v>34</v>
      </c>
      <c r="AL94" s="41">
        <f>SUM(AL90,AL92)</f>
        <v>522748.11499999999</v>
      </c>
      <c r="AM94" s="41">
        <f>SUM(AM90,AM92)</f>
        <v>522748.11499999999</v>
      </c>
      <c r="AN94" s="41">
        <f t="shared" ref="AN94:AW94" si="89">SUM(AN90,AN92)</f>
        <v>522748.11499999999</v>
      </c>
      <c r="AO94" s="41">
        <f t="shared" si="89"/>
        <v>661141.46499999997</v>
      </c>
      <c r="AP94" s="41">
        <f t="shared" si="89"/>
        <v>708756.56499999994</v>
      </c>
      <c r="AQ94" s="41">
        <f t="shared" si="89"/>
        <v>708756.56499999994</v>
      </c>
      <c r="AR94" s="41">
        <f t="shared" si="89"/>
        <v>708756.56499999994</v>
      </c>
      <c r="AS94" s="41">
        <f t="shared" si="89"/>
        <v>708756.56499999994</v>
      </c>
      <c r="AT94" s="41">
        <f t="shared" si="89"/>
        <v>708756.56499999994</v>
      </c>
      <c r="AU94" s="41">
        <f t="shared" si="89"/>
        <v>522748.11499999999</v>
      </c>
      <c r="AV94" s="41">
        <f t="shared" si="89"/>
        <v>522748.11499999999</v>
      </c>
      <c r="AW94" s="41">
        <f t="shared" si="89"/>
        <v>522748.11499999999</v>
      </c>
      <c r="AX94" s="26">
        <f>SUM(AL94:AW94)</f>
        <v>7341412.9800000004</v>
      </c>
      <c r="AY94" s="39">
        <f>AX94/12</f>
        <v>611784.41500000004</v>
      </c>
      <c r="AZ94" s="28">
        <f>AZ90+AZ92</f>
        <v>77859</v>
      </c>
      <c r="BA94" s="17">
        <f>AY94/AZ94</f>
        <v>7.8575940482153639</v>
      </c>
      <c r="BB94" s="195">
        <f>(BA94*1.04)/(1-0.025)</f>
        <v>8.3814336514297221</v>
      </c>
    </row>
    <row r="95" spans="1:54"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</row>
    <row r="96" spans="1:54">
      <c r="A96" s="337" t="s">
        <v>35</v>
      </c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337" t="s">
        <v>35</v>
      </c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337" t="s">
        <v>35</v>
      </c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</row>
    <row r="97" spans="1:54">
      <c r="A97" s="35" t="s">
        <v>36</v>
      </c>
      <c r="B97" s="28">
        <v>35800</v>
      </c>
      <c r="C97" s="28">
        <v>35800</v>
      </c>
      <c r="D97" s="28">
        <v>35800</v>
      </c>
      <c r="E97" s="28">
        <v>35800</v>
      </c>
      <c r="F97" s="28">
        <v>35800</v>
      </c>
      <c r="G97" s="28">
        <v>35800</v>
      </c>
      <c r="H97" s="28">
        <v>35800</v>
      </c>
      <c r="I97" s="28">
        <v>35800</v>
      </c>
      <c r="J97" s="28">
        <v>35800</v>
      </c>
      <c r="K97" s="28">
        <v>35800</v>
      </c>
      <c r="L97" s="28">
        <v>35800</v>
      </c>
      <c r="M97" s="28">
        <v>35800</v>
      </c>
      <c r="N97" s="24"/>
      <c r="O97" s="24"/>
      <c r="P97" s="24"/>
      <c r="Q97" s="24"/>
      <c r="R97" s="24"/>
      <c r="S97" s="35" t="s">
        <v>36</v>
      </c>
      <c r="T97" s="28">
        <v>35800</v>
      </c>
      <c r="U97" s="28">
        <v>35800</v>
      </c>
      <c r="V97" s="28">
        <v>35800</v>
      </c>
      <c r="W97" s="28">
        <v>35800</v>
      </c>
      <c r="X97" s="28">
        <v>35800</v>
      </c>
      <c r="Y97" s="28">
        <v>35800</v>
      </c>
      <c r="Z97" s="28">
        <v>35800</v>
      </c>
      <c r="AA97" s="28">
        <v>35800</v>
      </c>
      <c r="AB97" s="28">
        <v>35800</v>
      </c>
      <c r="AC97" s="28">
        <v>35800</v>
      </c>
      <c r="AD97" s="28">
        <v>35800</v>
      </c>
      <c r="AE97" s="28">
        <v>35800</v>
      </c>
      <c r="AF97" s="24"/>
      <c r="AG97" s="24"/>
      <c r="AH97" s="24"/>
      <c r="AI97" s="24"/>
      <c r="AJ97" s="24"/>
      <c r="AK97" s="35" t="s">
        <v>36</v>
      </c>
      <c r="AL97" s="28">
        <v>35800</v>
      </c>
      <c r="AM97" s="28">
        <v>35800</v>
      </c>
      <c r="AN97" s="28">
        <v>35800</v>
      </c>
      <c r="AO97" s="28">
        <v>35800</v>
      </c>
      <c r="AP97" s="28">
        <v>35800</v>
      </c>
      <c r="AQ97" s="28">
        <v>35800</v>
      </c>
      <c r="AR97" s="28">
        <v>35800</v>
      </c>
      <c r="AS97" s="28">
        <v>35800</v>
      </c>
      <c r="AT97" s="28">
        <v>35800</v>
      </c>
      <c r="AU97" s="28">
        <v>35800</v>
      </c>
      <c r="AV97" s="28">
        <v>35800</v>
      </c>
      <c r="AW97" s="28">
        <v>35800</v>
      </c>
      <c r="AX97" s="24"/>
      <c r="AY97" s="24"/>
      <c r="AZ97" s="24"/>
      <c r="BA97" s="24"/>
      <c r="BB97" s="24"/>
    </row>
    <row r="98" spans="1:54">
      <c r="A98" s="35" t="s">
        <v>37</v>
      </c>
      <c r="B98" s="415">
        <v>0.71</v>
      </c>
      <c r="C98" s="415">
        <v>0.71</v>
      </c>
      <c r="D98" s="415">
        <v>0.71</v>
      </c>
      <c r="E98" s="415">
        <v>0.71</v>
      </c>
      <c r="F98" s="415">
        <v>0.71</v>
      </c>
      <c r="G98" s="415">
        <v>0.71</v>
      </c>
      <c r="H98" s="415">
        <v>0.71</v>
      </c>
      <c r="I98" s="415">
        <v>0.64</v>
      </c>
      <c r="J98" s="415">
        <v>0.64</v>
      </c>
      <c r="K98" s="415">
        <v>0.64</v>
      </c>
      <c r="L98" s="415">
        <v>0.64</v>
      </c>
      <c r="M98" s="415">
        <v>0.64</v>
      </c>
      <c r="N98" s="24"/>
      <c r="O98" s="24"/>
      <c r="P98" s="24"/>
      <c r="Q98" s="24"/>
      <c r="R98" s="24"/>
      <c r="S98" s="35" t="s">
        <v>37</v>
      </c>
      <c r="T98" s="21">
        <v>0.9</v>
      </c>
      <c r="U98" s="21">
        <v>0.9</v>
      </c>
      <c r="V98" s="21">
        <v>0.9</v>
      </c>
      <c r="W98" s="21">
        <v>0.9</v>
      </c>
      <c r="X98" s="21">
        <v>0.9</v>
      </c>
      <c r="Y98" s="21">
        <v>0.9</v>
      </c>
      <c r="Z98" s="21">
        <v>0.9</v>
      </c>
      <c r="AA98" s="21">
        <v>0.9</v>
      </c>
      <c r="AB98" s="21">
        <v>0.9</v>
      </c>
      <c r="AC98" s="21">
        <v>0.9</v>
      </c>
      <c r="AD98" s="21">
        <v>0.9</v>
      </c>
      <c r="AE98" s="21">
        <v>0.9</v>
      </c>
      <c r="AF98" s="24"/>
      <c r="AG98" s="24"/>
      <c r="AH98" s="24"/>
      <c r="AI98" s="24"/>
      <c r="AJ98" s="24"/>
      <c r="AK98" s="35" t="s">
        <v>37</v>
      </c>
      <c r="AL98" s="21">
        <v>0.9</v>
      </c>
      <c r="AM98" s="21">
        <v>0.9</v>
      </c>
      <c r="AN98" s="21">
        <v>0.9</v>
      </c>
      <c r="AO98" s="21">
        <v>0.9</v>
      </c>
      <c r="AP98" s="21">
        <v>0.9</v>
      </c>
      <c r="AQ98" s="21">
        <v>0.9</v>
      </c>
      <c r="AR98" s="21">
        <v>0.9</v>
      </c>
      <c r="AS98" s="21">
        <v>0.9</v>
      </c>
      <c r="AT98" s="21">
        <v>0.9</v>
      </c>
      <c r="AU98" s="21">
        <v>0.9</v>
      </c>
      <c r="AV98" s="21">
        <v>0.9</v>
      </c>
      <c r="AW98" s="21">
        <v>0.9</v>
      </c>
      <c r="AX98" s="24"/>
      <c r="AY98" s="24"/>
      <c r="AZ98" s="24"/>
      <c r="BA98" s="24"/>
      <c r="BB98" s="24"/>
    </row>
    <row r="99" spans="1:54">
      <c r="A99" s="35" t="s">
        <v>38</v>
      </c>
      <c r="B99" s="26">
        <f t="shared" ref="B99:M99" si="90">+B97*B98</f>
        <v>25418</v>
      </c>
      <c r="C99" s="26">
        <f t="shared" si="90"/>
        <v>25418</v>
      </c>
      <c r="D99" s="26">
        <f t="shared" si="90"/>
        <v>25418</v>
      </c>
      <c r="E99" s="26">
        <f t="shared" si="90"/>
        <v>25418</v>
      </c>
      <c r="F99" s="26">
        <f t="shared" si="90"/>
        <v>25418</v>
      </c>
      <c r="G99" s="26">
        <f t="shared" si="90"/>
        <v>25418</v>
      </c>
      <c r="H99" s="26">
        <f t="shared" si="90"/>
        <v>25418</v>
      </c>
      <c r="I99" s="26">
        <f t="shared" si="90"/>
        <v>22912</v>
      </c>
      <c r="J99" s="26">
        <f t="shared" si="90"/>
        <v>22912</v>
      </c>
      <c r="K99" s="26">
        <f t="shared" si="90"/>
        <v>22912</v>
      </c>
      <c r="L99" s="26">
        <f t="shared" si="90"/>
        <v>22912</v>
      </c>
      <c r="M99" s="26">
        <f t="shared" si="90"/>
        <v>22912</v>
      </c>
      <c r="N99" s="26">
        <f>SUM(B99:M99)</f>
        <v>292486</v>
      </c>
      <c r="O99" s="24"/>
      <c r="P99" s="24"/>
      <c r="Q99" s="24"/>
      <c r="R99" s="24"/>
      <c r="S99" s="35" t="s">
        <v>38</v>
      </c>
      <c r="T99" s="26">
        <f t="shared" ref="T99:AE99" si="91">+T97*T98</f>
        <v>32220</v>
      </c>
      <c r="U99" s="26">
        <f t="shared" si="91"/>
        <v>32220</v>
      </c>
      <c r="V99" s="26">
        <f t="shared" si="91"/>
        <v>32220</v>
      </c>
      <c r="W99" s="26">
        <f t="shared" si="91"/>
        <v>32220</v>
      </c>
      <c r="X99" s="26">
        <f t="shared" si="91"/>
        <v>32220</v>
      </c>
      <c r="Y99" s="26">
        <f t="shared" si="91"/>
        <v>32220</v>
      </c>
      <c r="Z99" s="26">
        <f t="shared" si="91"/>
        <v>32220</v>
      </c>
      <c r="AA99" s="26">
        <f t="shared" si="91"/>
        <v>32220</v>
      </c>
      <c r="AB99" s="26">
        <f t="shared" si="91"/>
        <v>32220</v>
      </c>
      <c r="AC99" s="26">
        <f t="shared" si="91"/>
        <v>32220</v>
      </c>
      <c r="AD99" s="26">
        <f t="shared" si="91"/>
        <v>32220</v>
      </c>
      <c r="AE99" s="26">
        <f t="shared" si="91"/>
        <v>32220</v>
      </c>
      <c r="AF99" s="26">
        <f>SUM(T99:AE99)</f>
        <v>386640</v>
      </c>
      <c r="AG99" s="24"/>
      <c r="AH99" s="24"/>
      <c r="AI99" s="24"/>
      <c r="AJ99" s="24"/>
      <c r="AK99" s="35" t="s">
        <v>38</v>
      </c>
      <c r="AL99" s="26">
        <f t="shared" ref="AL99:AW99" si="92">+AL97*AL98</f>
        <v>32220</v>
      </c>
      <c r="AM99" s="26">
        <f t="shared" si="92"/>
        <v>32220</v>
      </c>
      <c r="AN99" s="26">
        <f t="shared" si="92"/>
        <v>32220</v>
      </c>
      <c r="AO99" s="26">
        <f t="shared" si="92"/>
        <v>32220</v>
      </c>
      <c r="AP99" s="26">
        <f t="shared" si="92"/>
        <v>32220</v>
      </c>
      <c r="AQ99" s="26">
        <f t="shared" si="92"/>
        <v>32220</v>
      </c>
      <c r="AR99" s="26">
        <f t="shared" si="92"/>
        <v>32220</v>
      </c>
      <c r="AS99" s="26">
        <f t="shared" si="92"/>
        <v>32220</v>
      </c>
      <c r="AT99" s="26">
        <f t="shared" si="92"/>
        <v>32220</v>
      </c>
      <c r="AU99" s="26">
        <f t="shared" si="92"/>
        <v>32220</v>
      </c>
      <c r="AV99" s="26">
        <f t="shared" si="92"/>
        <v>32220</v>
      </c>
      <c r="AW99" s="26">
        <f t="shared" si="92"/>
        <v>32220</v>
      </c>
      <c r="AX99" s="26">
        <f>SUM(AL99:AW99)</f>
        <v>386640</v>
      </c>
      <c r="AY99" s="24"/>
      <c r="AZ99" s="24"/>
      <c r="BA99" s="24"/>
      <c r="BB99" s="24"/>
    </row>
    <row r="100" spans="1:54">
      <c r="A100" s="35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35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35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</row>
    <row r="101" spans="1:54">
      <c r="A101" s="35" t="s">
        <v>39</v>
      </c>
      <c r="B101" s="36">
        <v>111250</v>
      </c>
      <c r="C101" s="36">
        <v>111250</v>
      </c>
      <c r="D101" s="36">
        <v>111250</v>
      </c>
      <c r="E101" s="36">
        <v>111250</v>
      </c>
      <c r="F101" s="36">
        <v>111250</v>
      </c>
      <c r="G101" s="36">
        <v>111250</v>
      </c>
      <c r="H101" s="36">
        <v>111250</v>
      </c>
      <c r="I101" s="36">
        <v>111250</v>
      </c>
      <c r="J101" s="36">
        <v>111250</v>
      </c>
      <c r="K101" s="36">
        <v>111250</v>
      </c>
      <c r="L101" s="36">
        <v>111250</v>
      </c>
      <c r="M101" s="36">
        <v>111250</v>
      </c>
      <c r="N101" s="24"/>
      <c r="O101" s="24"/>
      <c r="P101" s="24"/>
      <c r="Q101" s="24"/>
      <c r="R101" s="24"/>
      <c r="S101" s="35" t="s">
        <v>39</v>
      </c>
      <c r="T101" s="36">
        <v>111250</v>
      </c>
      <c r="U101" s="36">
        <v>111250</v>
      </c>
      <c r="V101" s="36">
        <v>111250</v>
      </c>
      <c r="W101" s="36">
        <v>111250</v>
      </c>
      <c r="X101" s="36">
        <v>111250</v>
      </c>
      <c r="Y101" s="36">
        <v>111250</v>
      </c>
      <c r="Z101" s="36">
        <v>111250</v>
      </c>
      <c r="AA101" s="36">
        <v>111250</v>
      </c>
      <c r="AB101" s="36">
        <v>111250</v>
      </c>
      <c r="AC101" s="36">
        <v>111250</v>
      </c>
      <c r="AD101" s="36">
        <v>111250</v>
      </c>
      <c r="AE101" s="36">
        <v>111250</v>
      </c>
      <c r="AF101" s="24"/>
      <c r="AG101" s="24"/>
      <c r="AH101" s="24"/>
      <c r="AI101" s="24"/>
      <c r="AJ101" s="24"/>
      <c r="AK101" s="35" t="s">
        <v>39</v>
      </c>
      <c r="AL101" s="36">
        <v>111250</v>
      </c>
      <c r="AM101" s="36">
        <v>111250</v>
      </c>
      <c r="AN101" s="36">
        <v>111250</v>
      </c>
      <c r="AO101" s="36">
        <v>111250</v>
      </c>
      <c r="AP101" s="36">
        <v>111250</v>
      </c>
      <c r="AQ101" s="36">
        <v>111250</v>
      </c>
      <c r="AR101" s="36">
        <v>111250</v>
      </c>
      <c r="AS101" s="36">
        <v>111250</v>
      </c>
      <c r="AT101" s="36">
        <v>111250</v>
      </c>
      <c r="AU101" s="36">
        <v>111250</v>
      </c>
      <c r="AV101" s="36">
        <v>111250</v>
      </c>
      <c r="AW101" s="36">
        <v>111250</v>
      </c>
      <c r="AX101" s="24"/>
      <c r="AY101" s="24"/>
      <c r="AZ101" s="24"/>
      <c r="BA101" s="24"/>
      <c r="BB101" s="24"/>
    </row>
    <row r="102" spans="1:54">
      <c r="A102" s="35" t="s">
        <v>37</v>
      </c>
      <c r="B102" s="415">
        <v>0.25700000000000001</v>
      </c>
      <c r="C102" s="415">
        <v>0.25700000000000001</v>
      </c>
      <c r="D102" s="415">
        <v>0.25700000000000001</v>
      </c>
      <c r="E102" s="415">
        <v>0.25700000000000001</v>
      </c>
      <c r="F102" s="415">
        <v>0.25700000000000001</v>
      </c>
      <c r="G102" s="415">
        <v>0.25700000000000001</v>
      </c>
      <c r="H102" s="415">
        <v>0.25700000000000001</v>
      </c>
      <c r="I102" s="415">
        <v>0.25700000000000001</v>
      </c>
      <c r="J102" s="415">
        <v>0.25700000000000001</v>
      </c>
      <c r="K102" s="415">
        <v>0.25700000000000001</v>
      </c>
      <c r="L102" s="415">
        <v>0.25700000000000001</v>
      </c>
      <c r="M102" s="415">
        <v>0.25700000000000001</v>
      </c>
      <c r="N102" s="24"/>
      <c r="O102" s="24"/>
      <c r="P102" s="24"/>
      <c r="Q102" s="24"/>
      <c r="R102" s="24"/>
      <c r="S102" s="35" t="s">
        <v>37</v>
      </c>
      <c r="T102" s="21">
        <v>0.35</v>
      </c>
      <c r="U102" s="21">
        <v>0.35</v>
      </c>
      <c r="V102" s="21">
        <v>0.35</v>
      </c>
      <c r="W102" s="21">
        <v>0.35</v>
      </c>
      <c r="X102" s="21">
        <v>0.35</v>
      </c>
      <c r="Y102" s="21">
        <v>0.35</v>
      </c>
      <c r="Z102" s="21">
        <v>0.35</v>
      </c>
      <c r="AA102" s="21">
        <v>0.35</v>
      </c>
      <c r="AB102" s="21">
        <v>0.35</v>
      </c>
      <c r="AC102" s="21">
        <v>0.35</v>
      </c>
      <c r="AD102" s="21">
        <v>0.35</v>
      </c>
      <c r="AE102" s="21">
        <v>0.35</v>
      </c>
      <c r="AF102" s="24"/>
      <c r="AG102" s="24"/>
      <c r="AH102" s="24"/>
      <c r="AI102" s="24"/>
      <c r="AJ102" s="24"/>
      <c r="AK102" s="35" t="s">
        <v>37</v>
      </c>
      <c r="AL102" s="21">
        <v>0.35</v>
      </c>
      <c r="AM102" s="21">
        <v>0.35</v>
      </c>
      <c r="AN102" s="21">
        <v>0.35</v>
      </c>
      <c r="AO102" s="21">
        <v>0.35</v>
      </c>
      <c r="AP102" s="21">
        <v>0.35</v>
      </c>
      <c r="AQ102" s="21">
        <v>0.35</v>
      </c>
      <c r="AR102" s="21">
        <v>0.35</v>
      </c>
      <c r="AS102" s="21">
        <v>0.35</v>
      </c>
      <c r="AT102" s="21">
        <v>0.35</v>
      </c>
      <c r="AU102" s="21">
        <v>0.35</v>
      </c>
      <c r="AV102" s="21">
        <v>0.35</v>
      </c>
      <c r="AW102" s="21">
        <v>0.35</v>
      </c>
      <c r="AX102" s="24"/>
      <c r="AY102" s="24"/>
      <c r="AZ102" s="24"/>
      <c r="BA102" s="24"/>
      <c r="BB102" s="24"/>
    </row>
    <row r="103" spans="1:54">
      <c r="A103" s="35" t="s">
        <v>38</v>
      </c>
      <c r="B103" s="26">
        <f t="shared" ref="B103:M103" si="93">+B101*B102</f>
        <v>28591.25</v>
      </c>
      <c r="C103" s="26">
        <f t="shared" si="93"/>
        <v>28591.25</v>
      </c>
      <c r="D103" s="26">
        <f t="shared" si="93"/>
        <v>28591.25</v>
      </c>
      <c r="E103" s="26">
        <f t="shared" si="93"/>
        <v>28591.25</v>
      </c>
      <c r="F103" s="26">
        <f t="shared" si="93"/>
        <v>28591.25</v>
      </c>
      <c r="G103" s="26">
        <f t="shared" si="93"/>
        <v>28591.25</v>
      </c>
      <c r="H103" s="26">
        <f t="shared" si="93"/>
        <v>28591.25</v>
      </c>
      <c r="I103" s="26">
        <f t="shared" si="93"/>
        <v>28591.25</v>
      </c>
      <c r="J103" s="26">
        <f t="shared" si="93"/>
        <v>28591.25</v>
      </c>
      <c r="K103" s="26">
        <f t="shared" si="93"/>
        <v>28591.25</v>
      </c>
      <c r="L103" s="26">
        <f t="shared" si="93"/>
        <v>28591.25</v>
      </c>
      <c r="M103" s="26">
        <f t="shared" si="93"/>
        <v>28591.25</v>
      </c>
      <c r="N103" s="26">
        <f>SUM(B103:M103)</f>
        <v>343095</v>
      </c>
      <c r="O103" s="24"/>
      <c r="P103" s="24"/>
      <c r="Q103" s="24"/>
      <c r="R103" s="24"/>
      <c r="S103" s="35" t="s">
        <v>38</v>
      </c>
      <c r="T103" s="26">
        <f t="shared" ref="T103:AE103" si="94">+T101*T102</f>
        <v>38937.5</v>
      </c>
      <c r="U103" s="26">
        <f t="shared" si="94"/>
        <v>38937.5</v>
      </c>
      <c r="V103" s="26">
        <f t="shared" si="94"/>
        <v>38937.5</v>
      </c>
      <c r="W103" s="26">
        <f t="shared" si="94"/>
        <v>38937.5</v>
      </c>
      <c r="X103" s="26">
        <f t="shared" si="94"/>
        <v>38937.5</v>
      </c>
      <c r="Y103" s="26">
        <f t="shared" si="94"/>
        <v>38937.5</v>
      </c>
      <c r="Z103" s="26">
        <f t="shared" si="94"/>
        <v>38937.5</v>
      </c>
      <c r="AA103" s="26">
        <f t="shared" si="94"/>
        <v>38937.5</v>
      </c>
      <c r="AB103" s="26">
        <f t="shared" si="94"/>
        <v>38937.5</v>
      </c>
      <c r="AC103" s="26">
        <f t="shared" si="94"/>
        <v>38937.5</v>
      </c>
      <c r="AD103" s="26">
        <f t="shared" si="94"/>
        <v>38937.5</v>
      </c>
      <c r="AE103" s="26">
        <f t="shared" si="94"/>
        <v>38937.5</v>
      </c>
      <c r="AF103" s="26">
        <f>SUM(T103:AE103)</f>
        <v>467250</v>
      </c>
      <c r="AG103" s="24"/>
      <c r="AH103" s="24"/>
      <c r="AI103" s="24"/>
      <c r="AJ103" s="24"/>
      <c r="AK103" s="35" t="s">
        <v>38</v>
      </c>
      <c r="AL103" s="26">
        <f t="shared" ref="AL103:AW103" si="95">+AL101*AL102</f>
        <v>38937.5</v>
      </c>
      <c r="AM103" s="26">
        <f t="shared" si="95"/>
        <v>38937.5</v>
      </c>
      <c r="AN103" s="26">
        <f t="shared" si="95"/>
        <v>38937.5</v>
      </c>
      <c r="AO103" s="26">
        <f t="shared" si="95"/>
        <v>38937.5</v>
      </c>
      <c r="AP103" s="26">
        <f t="shared" si="95"/>
        <v>38937.5</v>
      </c>
      <c r="AQ103" s="26">
        <f t="shared" si="95"/>
        <v>38937.5</v>
      </c>
      <c r="AR103" s="26">
        <f t="shared" si="95"/>
        <v>38937.5</v>
      </c>
      <c r="AS103" s="26">
        <f t="shared" si="95"/>
        <v>38937.5</v>
      </c>
      <c r="AT103" s="26">
        <f t="shared" si="95"/>
        <v>38937.5</v>
      </c>
      <c r="AU103" s="26">
        <f t="shared" si="95"/>
        <v>38937.5</v>
      </c>
      <c r="AV103" s="26">
        <f t="shared" si="95"/>
        <v>38937.5</v>
      </c>
      <c r="AW103" s="26">
        <f t="shared" si="95"/>
        <v>38937.5</v>
      </c>
      <c r="AX103" s="26">
        <f>SUM(AL103:AW103)</f>
        <v>467250</v>
      </c>
      <c r="AY103" s="24"/>
      <c r="AZ103" s="24"/>
      <c r="BA103" s="24"/>
      <c r="BB103" s="24"/>
    </row>
    <row r="104" spans="1:54"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</row>
    <row r="105" spans="1:54" ht="21" thickBot="1">
      <c r="A105" s="339" t="s">
        <v>40</v>
      </c>
      <c r="B105" s="40">
        <f>SUM(B99,B103)</f>
        <v>54009.25</v>
      </c>
      <c r="C105" s="40">
        <f>SUM(C99,C103)</f>
        <v>54009.25</v>
      </c>
      <c r="D105" s="40">
        <f t="shared" ref="D105:M105" si="96">SUM(D99,D103)</f>
        <v>54009.25</v>
      </c>
      <c r="E105" s="40">
        <f t="shared" si="96"/>
        <v>54009.25</v>
      </c>
      <c r="F105" s="40">
        <f t="shared" si="96"/>
        <v>54009.25</v>
      </c>
      <c r="G105" s="40">
        <f t="shared" si="96"/>
        <v>54009.25</v>
      </c>
      <c r="H105" s="40">
        <f t="shared" si="96"/>
        <v>54009.25</v>
      </c>
      <c r="I105" s="40">
        <f t="shared" si="96"/>
        <v>51503.25</v>
      </c>
      <c r="J105" s="40">
        <f t="shared" si="96"/>
        <v>51503.25</v>
      </c>
      <c r="K105" s="40">
        <f t="shared" si="96"/>
        <v>51503.25</v>
      </c>
      <c r="L105" s="40">
        <f t="shared" si="96"/>
        <v>51503.25</v>
      </c>
      <c r="M105" s="40">
        <f t="shared" si="96"/>
        <v>51503.25</v>
      </c>
      <c r="N105" s="40">
        <f>SUM(B105:M105)</f>
        <v>635581</v>
      </c>
      <c r="O105" s="39">
        <f>N105/12</f>
        <v>52965.083333333336</v>
      </c>
      <c r="P105" s="28">
        <v>35800</v>
      </c>
      <c r="Q105" s="195">
        <f>O105/P105</f>
        <v>1.479471601489758</v>
      </c>
      <c r="R105" s="195">
        <f>(Q105*1.04)/(1-0.025)</f>
        <v>1.5781030415890751</v>
      </c>
      <c r="S105" s="339" t="s">
        <v>40</v>
      </c>
      <c r="T105" s="40">
        <f>SUM(T99,T103)</f>
        <v>71157.5</v>
      </c>
      <c r="U105" s="40">
        <f>SUM(U99,U103)</f>
        <v>71157.5</v>
      </c>
      <c r="V105" s="40">
        <f t="shared" ref="V105:AE105" si="97">SUM(V99,V103)</f>
        <v>71157.5</v>
      </c>
      <c r="W105" s="40">
        <f t="shared" si="97"/>
        <v>71157.5</v>
      </c>
      <c r="X105" s="40">
        <f t="shared" si="97"/>
        <v>71157.5</v>
      </c>
      <c r="Y105" s="40">
        <f t="shared" si="97"/>
        <v>71157.5</v>
      </c>
      <c r="Z105" s="40">
        <f t="shared" si="97"/>
        <v>71157.5</v>
      </c>
      <c r="AA105" s="40">
        <f t="shared" si="97"/>
        <v>71157.5</v>
      </c>
      <c r="AB105" s="40">
        <f t="shared" si="97"/>
        <v>71157.5</v>
      </c>
      <c r="AC105" s="40">
        <f t="shared" si="97"/>
        <v>71157.5</v>
      </c>
      <c r="AD105" s="40">
        <f t="shared" si="97"/>
        <v>71157.5</v>
      </c>
      <c r="AE105" s="40">
        <f t="shared" si="97"/>
        <v>71157.5</v>
      </c>
      <c r="AF105" s="40">
        <f>SUM(T105:AE105)</f>
        <v>853890</v>
      </c>
      <c r="AG105" s="39">
        <f>AF105/12</f>
        <v>71157.5</v>
      </c>
      <c r="AH105" s="28">
        <v>35800</v>
      </c>
      <c r="AI105" s="17">
        <f>AG105/AH105</f>
        <v>1.9876396648044692</v>
      </c>
      <c r="AJ105" s="195">
        <f>(AI105*1.04)/(1-0.025)</f>
        <v>2.1201489757914338</v>
      </c>
      <c r="AK105" s="339" t="s">
        <v>40</v>
      </c>
      <c r="AL105" s="40">
        <f>SUM(AL99,AL103)</f>
        <v>71157.5</v>
      </c>
      <c r="AM105" s="40">
        <f>SUM(AM99,AM103)</f>
        <v>71157.5</v>
      </c>
      <c r="AN105" s="40">
        <f t="shared" ref="AN105:AW105" si="98">SUM(AN99,AN103)</f>
        <v>71157.5</v>
      </c>
      <c r="AO105" s="40">
        <f t="shared" si="98"/>
        <v>71157.5</v>
      </c>
      <c r="AP105" s="40">
        <f t="shared" si="98"/>
        <v>71157.5</v>
      </c>
      <c r="AQ105" s="40">
        <f t="shared" si="98"/>
        <v>71157.5</v>
      </c>
      <c r="AR105" s="40">
        <f t="shared" si="98"/>
        <v>71157.5</v>
      </c>
      <c r="AS105" s="40">
        <f t="shared" si="98"/>
        <v>71157.5</v>
      </c>
      <c r="AT105" s="40">
        <f t="shared" si="98"/>
        <v>71157.5</v>
      </c>
      <c r="AU105" s="40">
        <f t="shared" si="98"/>
        <v>71157.5</v>
      </c>
      <c r="AV105" s="40">
        <f t="shared" si="98"/>
        <v>71157.5</v>
      </c>
      <c r="AW105" s="40">
        <f t="shared" si="98"/>
        <v>71157.5</v>
      </c>
      <c r="AX105" s="40">
        <f>SUM(AL105:AW105)</f>
        <v>853890</v>
      </c>
      <c r="AY105" s="39">
        <f>AX105/12</f>
        <v>71157.5</v>
      </c>
      <c r="AZ105" s="28">
        <v>35800</v>
      </c>
      <c r="BA105" s="17">
        <f>AY105/AZ105</f>
        <v>1.9876396648044692</v>
      </c>
      <c r="BB105" s="195">
        <f>(BA105*1.04)/(1-0.025)</f>
        <v>2.1201489757914338</v>
      </c>
    </row>
    <row r="106" spans="1:54" ht="21" thickTop="1">
      <c r="A106" s="341"/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24"/>
      <c r="P106" s="24"/>
      <c r="Q106" s="24"/>
      <c r="R106" s="24"/>
      <c r="S106" s="341"/>
      <c r="T106" s="41"/>
      <c r="U106" s="41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24"/>
      <c r="AH106" s="24"/>
      <c r="AI106" s="24"/>
      <c r="AJ106" s="24"/>
      <c r="AK106" s="341"/>
      <c r="AL106" s="41"/>
      <c r="AM106" s="41"/>
      <c r="AN106" s="41"/>
      <c r="AO106" s="41"/>
      <c r="AP106" s="41"/>
      <c r="AQ106" s="41"/>
      <c r="AR106" s="41"/>
      <c r="AS106" s="41"/>
      <c r="AT106" s="41"/>
      <c r="AU106" s="41"/>
      <c r="AV106" s="41"/>
      <c r="AW106" s="41"/>
      <c r="AX106" s="41"/>
      <c r="AY106" s="24"/>
      <c r="AZ106" s="24"/>
      <c r="BA106" s="24"/>
      <c r="BB106" s="24"/>
    </row>
    <row r="107" spans="1:54">
      <c r="A107" s="170" t="s">
        <v>41</v>
      </c>
      <c r="B107" s="26">
        <f>SUM(B48,B94,B105)</f>
        <v>1691092.1852719998</v>
      </c>
      <c r="C107" s="26">
        <f t="shared" ref="C107:M107" si="99">SUM(C48,C94,C105)</f>
        <v>1681164.1980819998</v>
      </c>
      <c r="D107" s="26">
        <f t="shared" si="99"/>
        <v>1686606.505688</v>
      </c>
      <c r="E107" s="26">
        <f t="shared" si="99"/>
        <v>1837705.219488</v>
      </c>
      <c r="F107" s="26">
        <f t="shared" si="99"/>
        <v>1801014.8288110001</v>
      </c>
      <c r="G107" s="26">
        <f t="shared" si="99"/>
        <v>1820496.4326200001</v>
      </c>
      <c r="H107" s="26">
        <f t="shared" si="99"/>
        <v>1816123.6224890002</v>
      </c>
      <c r="I107" s="26">
        <f t="shared" si="99"/>
        <v>1801543.6909</v>
      </c>
      <c r="J107" s="26">
        <f t="shared" si="99"/>
        <v>1817918.2879000001</v>
      </c>
      <c r="K107" s="26">
        <f t="shared" si="99"/>
        <v>1625110.6113999998</v>
      </c>
      <c r="L107" s="26">
        <f t="shared" si="99"/>
        <v>1618896.9213999999</v>
      </c>
      <c r="M107" s="26">
        <f t="shared" si="99"/>
        <v>1617542.3813999998</v>
      </c>
      <c r="N107" s="342">
        <f>SUM(B107:M107)</f>
        <v>20815214.885450002</v>
      </c>
      <c r="O107" s="39">
        <f>N107/12</f>
        <v>1734601.2404541669</v>
      </c>
      <c r="P107" s="28">
        <f>SUM(P48,P94,P105)</f>
        <v>214624</v>
      </c>
      <c r="Q107" s="195">
        <f>O107/P107</f>
        <v>8.0820469306981835</v>
      </c>
      <c r="R107" s="195">
        <f>(Q107*1.04)/(1-0.025)</f>
        <v>8.6208500594113957</v>
      </c>
      <c r="S107" s="170" t="s">
        <v>41</v>
      </c>
      <c r="T107" s="26">
        <f>SUM(T48,T94,T105)</f>
        <v>1665344.9012</v>
      </c>
      <c r="U107" s="26">
        <f t="shared" ref="U107:AE107" si="100">SUM(U48,U94,U105)</f>
        <v>1665344.9012</v>
      </c>
      <c r="V107" s="26">
        <f t="shared" si="100"/>
        <v>1665344.9012</v>
      </c>
      <c r="W107" s="26">
        <f t="shared" si="100"/>
        <v>1803738.2511999998</v>
      </c>
      <c r="X107" s="26">
        <f t="shared" si="100"/>
        <v>1851353.3511999999</v>
      </c>
      <c r="Y107" s="26">
        <f t="shared" si="100"/>
        <v>1851353.3511999999</v>
      </c>
      <c r="Z107" s="26">
        <f t="shared" si="100"/>
        <v>1851353.3511999999</v>
      </c>
      <c r="AA107" s="26">
        <f t="shared" si="100"/>
        <v>1851353.3511999999</v>
      </c>
      <c r="AB107" s="26">
        <f t="shared" si="100"/>
        <v>1851353.3511999999</v>
      </c>
      <c r="AC107" s="26">
        <f t="shared" si="100"/>
        <v>1665344.9012</v>
      </c>
      <c r="AD107" s="26">
        <f t="shared" si="100"/>
        <v>1665344.9012</v>
      </c>
      <c r="AE107" s="26">
        <f t="shared" si="100"/>
        <v>1665344.9012</v>
      </c>
      <c r="AF107" s="342">
        <f>SUM(T107:AE107)</f>
        <v>21052574.414399996</v>
      </c>
      <c r="AG107" s="39">
        <f>AF107/12</f>
        <v>1754381.2011999998</v>
      </c>
      <c r="AH107" s="28">
        <f>SUM(AH48,AH94,AH105)</f>
        <v>214624</v>
      </c>
      <c r="AI107" s="17">
        <f>AG107/AH107</f>
        <v>8.1742079226927089</v>
      </c>
      <c r="AJ107" s="195">
        <f>(AI107*1.04)/(1-0.025)</f>
        <v>8.7191551175388895</v>
      </c>
      <c r="AK107" s="170" t="s">
        <v>41</v>
      </c>
      <c r="AL107" s="26">
        <f>SUM(AL48,AL94,AL105)</f>
        <v>1665344.9012</v>
      </c>
      <c r="AM107" s="26">
        <f t="shared" ref="AM107:AW107" si="101">SUM(AM48,AM94,AM105)</f>
        <v>1665344.9012</v>
      </c>
      <c r="AN107" s="26">
        <f t="shared" si="101"/>
        <v>1665344.9012</v>
      </c>
      <c r="AO107" s="26">
        <f t="shared" si="101"/>
        <v>1803738.2511999998</v>
      </c>
      <c r="AP107" s="26">
        <f t="shared" si="101"/>
        <v>1851353.3511999999</v>
      </c>
      <c r="AQ107" s="26">
        <f t="shared" si="101"/>
        <v>1851353.3511999999</v>
      </c>
      <c r="AR107" s="26">
        <f t="shared" si="101"/>
        <v>1851353.3511999999</v>
      </c>
      <c r="AS107" s="26">
        <f t="shared" si="101"/>
        <v>1851353.3511999999</v>
      </c>
      <c r="AT107" s="26">
        <f t="shared" si="101"/>
        <v>1851353.3511999999</v>
      </c>
      <c r="AU107" s="26">
        <f t="shared" si="101"/>
        <v>1665344.9012</v>
      </c>
      <c r="AV107" s="26">
        <f t="shared" si="101"/>
        <v>1665344.9012</v>
      </c>
      <c r="AW107" s="26">
        <f t="shared" si="101"/>
        <v>1665344.9012</v>
      </c>
      <c r="AX107" s="342">
        <f>SUM(AL107:AW107)</f>
        <v>21052574.414399996</v>
      </c>
      <c r="AY107" s="39">
        <f>AX107/12</f>
        <v>1754381.2011999998</v>
      </c>
      <c r="AZ107" s="28">
        <f>SUM(AZ48,AZ94,AZ105)</f>
        <v>214624</v>
      </c>
      <c r="BA107" s="17">
        <f>AY107/AZ107</f>
        <v>8.1742079226927089</v>
      </c>
      <c r="BB107" s="195">
        <f>(BA107*1.04)/(1-0.025)</f>
        <v>8.7191551175388895</v>
      </c>
    </row>
    <row r="108" spans="1:54">
      <c r="D108" s="24"/>
      <c r="E108" s="39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T108" s="24">
        <f>B107-T107</f>
        <v>25747.284071999835</v>
      </c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39"/>
      <c r="AG108" s="24"/>
      <c r="AH108" s="24"/>
      <c r="AI108" s="24"/>
      <c r="AJ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</row>
    <row r="109" spans="1:54">
      <c r="A109" s="338" t="s">
        <v>148</v>
      </c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13"/>
      <c r="P109" s="24"/>
      <c r="Q109" s="24"/>
      <c r="R109" s="24"/>
      <c r="S109" s="338" t="s">
        <v>148</v>
      </c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13" t="s">
        <v>270</v>
      </c>
      <c r="AH109" s="24"/>
      <c r="AI109" s="24"/>
      <c r="AJ109" s="24"/>
      <c r="AK109" s="338" t="s">
        <v>148</v>
      </c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13" t="s">
        <v>270</v>
      </c>
      <c r="AZ109" s="24"/>
      <c r="BA109" s="24"/>
      <c r="BB109" s="24"/>
    </row>
    <row r="110" spans="1:54">
      <c r="A110" s="37" t="s">
        <v>306</v>
      </c>
      <c r="B110" s="39">
        <f>SUM(B34,B44,B66,B82,B86,B99,B103,)</f>
        <v>661146.4683999999</v>
      </c>
      <c r="C110" s="39">
        <f t="shared" ref="C110:M110" si="102">SUM(C34,C44,C66,C82,C86,C99,C103,)</f>
        <v>661146.4683999999</v>
      </c>
      <c r="D110" s="39">
        <f t="shared" si="102"/>
        <v>665612.59840000002</v>
      </c>
      <c r="E110" s="39">
        <f t="shared" si="102"/>
        <v>803818.29639999999</v>
      </c>
      <c r="F110" s="39">
        <f t="shared" si="102"/>
        <v>803818.29639999999</v>
      </c>
      <c r="G110" s="39">
        <f t="shared" si="102"/>
        <v>803818.29639999999</v>
      </c>
      <c r="H110" s="39">
        <f t="shared" si="102"/>
        <v>803818.29639999999</v>
      </c>
      <c r="I110" s="39">
        <f t="shared" si="102"/>
        <v>804240.92440000002</v>
      </c>
      <c r="J110" s="39">
        <f t="shared" si="102"/>
        <v>804194.01139999984</v>
      </c>
      <c r="K110" s="39">
        <f t="shared" si="102"/>
        <v>665304.0088999999</v>
      </c>
      <c r="L110" s="39">
        <f t="shared" si="102"/>
        <v>665304.0088999999</v>
      </c>
      <c r="M110" s="39">
        <f t="shared" si="102"/>
        <v>665304.0088999999</v>
      </c>
      <c r="N110" s="39">
        <f t="shared" ref="N110:N115" si="103">SUM(B110:M110)</f>
        <v>8807525.6832999997</v>
      </c>
      <c r="O110" s="39"/>
      <c r="P110" s="24"/>
      <c r="Q110" s="24"/>
      <c r="R110" s="24"/>
      <c r="S110" s="37" t="s">
        <v>42</v>
      </c>
      <c r="T110" s="39">
        <f>SUM(T34,T44,T66,T82,T86,T99,T103,)</f>
        <v>687685.23</v>
      </c>
      <c r="U110" s="39">
        <f t="shared" ref="U110:AE110" si="104">SUM(U34,U44,U66,U82,U86,U99,U103,)</f>
        <v>687685.23</v>
      </c>
      <c r="V110" s="39">
        <f t="shared" si="104"/>
        <v>687685.23</v>
      </c>
      <c r="W110" s="39">
        <f t="shared" si="104"/>
        <v>826078.58</v>
      </c>
      <c r="X110" s="39">
        <f t="shared" si="104"/>
        <v>826078.58</v>
      </c>
      <c r="Y110" s="39">
        <f t="shared" si="104"/>
        <v>826078.58</v>
      </c>
      <c r="Z110" s="39">
        <f t="shared" si="104"/>
        <v>826078.58</v>
      </c>
      <c r="AA110" s="39">
        <f t="shared" si="104"/>
        <v>826078.58</v>
      </c>
      <c r="AB110" s="39">
        <f t="shared" si="104"/>
        <v>826078.58</v>
      </c>
      <c r="AC110" s="39">
        <f t="shared" si="104"/>
        <v>687685.23</v>
      </c>
      <c r="AD110" s="39">
        <f t="shared" si="104"/>
        <v>687685.23</v>
      </c>
      <c r="AE110" s="39">
        <f t="shared" si="104"/>
        <v>687685.23</v>
      </c>
      <c r="AF110" s="39">
        <f t="shared" ref="AF110:AF115" si="105">SUM(T110:AE110)</f>
        <v>9082582.8600000013</v>
      </c>
      <c r="AG110" s="39">
        <f t="shared" ref="AG110:AG115" si="106">AF110-N110</f>
        <v>275057.17670000158</v>
      </c>
      <c r="AH110" s="24"/>
      <c r="AI110" s="24"/>
      <c r="AJ110" s="24"/>
      <c r="AK110" s="37" t="s">
        <v>42</v>
      </c>
      <c r="AL110" s="39">
        <f>SUM(AL34,AL44,AL66,AL82,AL86,AL99,AL103,)</f>
        <v>687685.23</v>
      </c>
      <c r="AM110" s="39">
        <f t="shared" ref="AM110:AW110" si="107">SUM(AM34,AM44,AM66,AM82,AM86,AM99,AM103,)</f>
        <v>687685.23</v>
      </c>
      <c r="AN110" s="39">
        <f t="shared" si="107"/>
        <v>687685.23</v>
      </c>
      <c r="AO110" s="39">
        <f t="shared" si="107"/>
        <v>826078.58</v>
      </c>
      <c r="AP110" s="39">
        <f t="shared" si="107"/>
        <v>826078.58</v>
      </c>
      <c r="AQ110" s="39">
        <f t="shared" si="107"/>
        <v>826078.58</v>
      </c>
      <c r="AR110" s="39">
        <f t="shared" si="107"/>
        <v>826078.58</v>
      </c>
      <c r="AS110" s="39">
        <f t="shared" si="107"/>
        <v>826078.58</v>
      </c>
      <c r="AT110" s="39">
        <f t="shared" si="107"/>
        <v>826078.58</v>
      </c>
      <c r="AU110" s="39">
        <f t="shared" si="107"/>
        <v>687685.23</v>
      </c>
      <c r="AV110" s="39">
        <f t="shared" si="107"/>
        <v>687685.23</v>
      </c>
      <c r="AW110" s="39">
        <f t="shared" si="107"/>
        <v>687685.23</v>
      </c>
      <c r="AX110" s="39">
        <f t="shared" ref="AX110:AX115" si="108">SUM(AL110:AW110)</f>
        <v>9082582.8600000013</v>
      </c>
      <c r="AY110" s="39">
        <f t="shared" ref="AY110:AY115" si="109">AX110-AF110</f>
        <v>0</v>
      </c>
      <c r="AZ110" s="24"/>
      <c r="BA110" s="24"/>
      <c r="BB110" s="24"/>
    </row>
    <row r="111" spans="1:54">
      <c r="A111" s="37" t="s">
        <v>43</v>
      </c>
      <c r="B111" s="39">
        <f>+B30</f>
        <v>286051.10340000002</v>
      </c>
      <c r="C111" s="39">
        <f>+C30</f>
        <v>286051.10340000002</v>
      </c>
      <c r="D111" s="39">
        <f t="shared" ref="D111:M111" si="110">+D30</f>
        <v>286051.10340000002</v>
      </c>
      <c r="E111" s="39">
        <f t="shared" si="110"/>
        <v>286051.10340000002</v>
      </c>
      <c r="F111" s="39">
        <f t="shared" si="110"/>
        <v>223537.48619999998</v>
      </c>
      <c r="G111" s="39">
        <f t="shared" si="110"/>
        <v>223537.48619999998</v>
      </c>
      <c r="H111" s="39">
        <f t="shared" si="110"/>
        <v>223537.48619999998</v>
      </c>
      <c r="I111" s="39">
        <f t="shared" si="110"/>
        <v>223537.48619999998</v>
      </c>
      <c r="J111" s="39">
        <f t="shared" si="110"/>
        <v>223537.48619999998</v>
      </c>
      <c r="K111" s="39">
        <f t="shared" si="110"/>
        <v>223537.48619999998</v>
      </c>
      <c r="L111" s="39">
        <f t="shared" si="110"/>
        <v>223537.48619999998</v>
      </c>
      <c r="M111" s="39">
        <f t="shared" si="110"/>
        <v>223537.48619999998</v>
      </c>
      <c r="N111" s="39">
        <f t="shared" si="103"/>
        <v>2932504.3032000004</v>
      </c>
      <c r="O111" s="39"/>
      <c r="P111" s="24"/>
      <c r="Q111" s="24"/>
      <c r="R111" s="24"/>
      <c r="S111" s="37" t="s">
        <v>43</v>
      </c>
      <c r="T111" s="39">
        <f>+T30</f>
        <v>223537.48619999998</v>
      </c>
      <c r="U111" s="39">
        <f>+U30</f>
        <v>223537.48619999998</v>
      </c>
      <c r="V111" s="39">
        <f t="shared" ref="V111:AE111" si="111">+V30</f>
        <v>223537.48619999998</v>
      </c>
      <c r="W111" s="39">
        <f t="shared" si="111"/>
        <v>223537.48619999998</v>
      </c>
      <c r="X111" s="39">
        <f t="shared" si="111"/>
        <v>223537.48619999998</v>
      </c>
      <c r="Y111" s="39">
        <f t="shared" si="111"/>
        <v>223537.48619999998</v>
      </c>
      <c r="Z111" s="39">
        <f t="shared" si="111"/>
        <v>223537.48619999998</v>
      </c>
      <c r="AA111" s="39">
        <f t="shared" si="111"/>
        <v>223537.48619999998</v>
      </c>
      <c r="AB111" s="39">
        <f t="shared" si="111"/>
        <v>223537.48619999998</v>
      </c>
      <c r="AC111" s="39">
        <f t="shared" si="111"/>
        <v>223537.48619999998</v>
      </c>
      <c r="AD111" s="39">
        <f t="shared" si="111"/>
        <v>223537.48619999998</v>
      </c>
      <c r="AE111" s="39">
        <f t="shared" si="111"/>
        <v>223537.48619999998</v>
      </c>
      <c r="AF111" s="39">
        <f t="shared" si="105"/>
        <v>2682449.8344000001</v>
      </c>
      <c r="AG111" s="39">
        <f t="shared" si="106"/>
        <v>-250054.46880000038</v>
      </c>
      <c r="AH111" s="24"/>
      <c r="AI111" s="24"/>
      <c r="AJ111" s="24"/>
      <c r="AK111" s="37" t="s">
        <v>43</v>
      </c>
      <c r="AL111" s="39">
        <f>+AL30</f>
        <v>223537.48619999998</v>
      </c>
      <c r="AM111" s="39">
        <f>+AM30</f>
        <v>223537.48619999998</v>
      </c>
      <c r="AN111" s="39">
        <f t="shared" ref="AN111:AW111" si="112">+AN30</f>
        <v>223537.48619999998</v>
      </c>
      <c r="AO111" s="39">
        <f t="shared" si="112"/>
        <v>223537.48619999998</v>
      </c>
      <c r="AP111" s="39">
        <f t="shared" si="112"/>
        <v>223537.48619999998</v>
      </c>
      <c r="AQ111" s="39">
        <f t="shared" si="112"/>
        <v>223537.48619999998</v>
      </c>
      <c r="AR111" s="39">
        <f t="shared" si="112"/>
        <v>223537.48619999998</v>
      </c>
      <c r="AS111" s="39">
        <f t="shared" si="112"/>
        <v>223537.48619999998</v>
      </c>
      <c r="AT111" s="39">
        <f t="shared" si="112"/>
        <v>223537.48619999998</v>
      </c>
      <c r="AU111" s="39">
        <f t="shared" si="112"/>
        <v>223537.48619999998</v>
      </c>
      <c r="AV111" s="39">
        <f t="shared" si="112"/>
        <v>223537.48619999998</v>
      </c>
      <c r="AW111" s="39">
        <f t="shared" si="112"/>
        <v>223537.48619999998</v>
      </c>
      <c r="AX111" s="39">
        <f t="shared" si="108"/>
        <v>2682449.8344000001</v>
      </c>
      <c r="AY111" s="39">
        <f t="shared" si="109"/>
        <v>0</v>
      </c>
      <c r="AZ111" s="24"/>
      <c r="BA111" s="24"/>
      <c r="BB111" s="24"/>
    </row>
    <row r="112" spans="1:54">
      <c r="A112" s="37" t="s">
        <v>187</v>
      </c>
      <c r="B112" s="39">
        <f t="shared" ref="B112:M112" si="113">SUM(B7,B11,B54,B58,B62,B74,B78)</f>
        <v>548329.34369999997</v>
      </c>
      <c r="C112" s="39">
        <f t="shared" si="113"/>
        <v>548329.34369999997</v>
      </c>
      <c r="D112" s="39">
        <f t="shared" si="113"/>
        <v>548329.34369999997</v>
      </c>
      <c r="E112" s="39">
        <f t="shared" si="113"/>
        <v>548329.34369999997</v>
      </c>
      <c r="F112" s="39">
        <f t="shared" si="113"/>
        <v>594908.90029999998</v>
      </c>
      <c r="G112" s="39">
        <f t="shared" si="113"/>
        <v>594908.90029999998</v>
      </c>
      <c r="H112" s="39">
        <f t="shared" si="113"/>
        <v>594908.90029999998</v>
      </c>
      <c r="I112" s="39">
        <f t="shared" si="113"/>
        <v>594908.90029999998</v>
      </c>
      <c r="J112" s="39">
        <f t="shared" si="113"/>
        <v>594908.90029999998</v>
      </c>
      <c r="K112" s="39">
        <f t="shared" si="113"/>
        <v>547797.31630000006</v>
      </c>
      <c r="L112" s="39">
        <f t="shared" si="113"/>
        <v>547797.31630000006</v>
      </c>
      <c r="M112" s="39">
        <f t="shared" si="113"/>
        <v>547797.31630000006</v>
      </c>
      <c r="N112" s="39">
        <f t="shared" si="103"/>
        <v>6811253.8251999998</v>
      </c>
      <c r="O112" s="39"/>
      <c r="P112" s="39"/>
      <c r="Q112" s="24"/>
      <c r="R112" s="24"/>
      <c r="S112" s="37" t="s">
        <v>187</v>
      </c>
      <c r="T112" s="39">
        <f t="shared" ref="T112:AE112" si="114">SUM(T7,T11,T54,T58,T62,T74,T78)</f>
        <v>552972.18500000006</v>
      </c>
      <c r="U112" s="39">
        <f t="shared" si="114"/>
        <v>552972.18500000006</v>
      </c>
      <c r="V112" s="39">
        <f t="shared" si="114"/>
        <v>552972.18500000006</v>
      </c>
      <c r="W112" s="39">
        <f t="shared" si="114"/>
        <v>552972.18500000006</v>
      </c>
      <c r="X112" s="39">
        <f t="shared" si="114"/>
        <v>600587.28500000003</v>
      </c>
      <c r="Y112" s="39">
        <f t="shared" si="114"/>
        <v>600587.28500000003</v>
      </c>
      <c r="Z112" s="39">
        <f t="shared" si="114"/>
        <v>600587.28500000003</v>
      </c>
      <c r="AA112" s="39">
        <f t="shared" si="114"/>
        <v>600587.28500000003</v>
      </c>
      <c r="AB112" s="39">
        <f t="shared" si="114"/>
        <v>600587.28500000003</v>
      </c>
      <c r="AC112" s="39">
        <f t="shared" si="114"/>
        <v>552972.18500000006</v>
      </c>
      <c r="AD112" s="39">
        <f t="shared" si="114"/>
        <v>552972.18500000006</v>
      </c>
      <c r="AE112" s="39">
        <f t="shared" si="114"/>
        <v>552972.18500000006</v>
      </c>
      <c r="AF112" s="39">
        <f t="shared" si="105"/>
        <v>6873741.7200000025</v>
      </c>
      <c r="AG112" s="39">
        <f t="shared" si="106"/>
        <v>62487.894800002687</v>
      </c>
      <c r="AH112" s="39"/>
      <c r="AI112" s="24"/>
      <c r="AJ112" s="24"/>
      <c r="AK112" s="37" t="s">
        <v>187</v>
      </c>
      <c r="AL112" s="39">
        <f t="shared" ref="AL112:AW112" si="115">SUM(AL7,AL11,AL54,AL58,AL62,AL74,AL78)</f>
        <v>552972.18500000006</v>
      </c>
      <c r="AM112" s="39">
        <f t="shared" si="115"/>
        <v>552972.18500000006</v>
      </c>
      <c r="AN112" s="39">
        <f t="shared" si="115"/>
        <v>552972.18500000006</v>
      </c>
      <c r="AO112" s="39">
        <f t="shared" si="115"/>
        <v>552972.18500000006</v>
      </c>
      <c r="AP112" s="39">
        <f t="shared" si="115"/>
        <v>600587.28500000003</v>
      </c>
      <c r="AQ112" s="39">
        <f t="shared" si="115"/>
        <v>600587.28500000003</v>
      </c>
      <c r="AR112" s="39">
        <f t="shared" si="115"/>
        <v>600587.28500000003</v>
      </c>
      <c r="AS112" s="39">
        <f t="shared" si="115"/>
        <v>600587.28500000003</v>
      </c>
      <c r="AT112" s="39">
        <f t="shared" si="115"/>
        <v>600587.28500000003</v>
      </c>
      <c r="AU112" s="39">
        <f t="shared" si="115"/>
        <v>552972.18500000006</v>
      </c>
      <c r="AV112" s="39">
        <f t="shared" si="115"/>
        <v>552972.18500000006</v>
      </c>
      <c r="AW112" s="39">
        <f t="shared" si="115"/>
        <v>552972.18500000006</v>
      </c>
      <c r="AX112" s="39">
        <f t="shared" si="108"/>
        <v>6873741.7200000025</v>
      </c>
      <c r="AY112" s="39">
        <f t="shared" si="109"/>
        <v>0</v>
      </c>
      <c r="AZ112" s="39"/>
      <c r="BA112" s="24"/>
      <c r="BB112" s="24"/>
    </row>
    <row r="113" spans="1:54">
      <c r="A113" s="37" t="s">
        <v>44</v>
      </c>
      <c r="B113" s="39">
        <f t="shared" ref="B113:M113" si="116">SUM(B17,B40)</f>
        <v>130835.5003</v>
      </c>
      <c r="C113" s="39">
        <f t="shared" si="116"/>
        <v>125377.02224999999</v>
      </c>
      <c r="D113" s="39">
        <f t="shared" si="116"/>
        <v>121332.60249999999</v>
      </c>
      <c r="E113" s="39">
        <f t="shared" si="116"/>
        <v>125377.02224999999</v>
      </c>
      <c r="F113" s="39">
        <f t="shared" si="116"/>
        <v>121332.5925</v>
      </c>
      <c r="G113" s="39">
        <f t="shared" si="116"/>
        <v>125377.02225000002</v>
      </c>
      <c r="H113" s="39">
        <f t="shared" si="116"/>
        <v>125377.02225000002</v>
      </c>
      <c r="I113" s="39">
        <f t="shared" si="116"/>
        <v>117288.18</v>
      </c>
      <c r="J113" s="39">
        <f t="shared" si="116"/>
        <v>125377.02</v>
      </c>
      <c r="K113" s="39">
        <f t="shared" si="116"/>
        <v>121173</v>
      </c>
      <c r="L113" s="39">
        <f t="shared" si="116"/>
        <v>125212.09999999999</v>
      </c>
      <c r="M113" s="39">
        <f t="shared" si="116"/>
        <v>121173</v>
      </c>
      <c r="N113" s="39">
        <f t="shared" si="103"/>
        <v>1485232.0843000002</v>
      </c>
      <c r="O113" s="39"/>
      <c r="P113" s="24"/>
      <c r="Q113" s="24"/>
      <c r="R113" s="24"/>
      <c r="S113" s="37" t="s">
        <v>44</v>
      </c>
      <c r="T113" s="39">
        <f t="shared" ref="T113:AE113" si="117">SUM(T17,T40)</f>
        <v>125500</v>
      </c>
      <c r="U113" s="39">
        <f t="shared" si="117"/>
        <v>125500</v>
      </c>
      <c r="V113" s="39">
        <f t="shared" si="117"/>
        <v>125500</v>
      </c>
      <c r="W113" s="39">
        <f t="shared" si="117"/>
        <v>125500</v>
      </c>
      <c r="X113" s="39">
        <f t="shared" si="117"/>
        <v>125500</v>
      </c>
      <c r="Y113" s="39">
        <f t="shared" si="117"/>
        <v>125500</v>
      </c>
      <c r="Z113" s="39">
        <f t="shared" si="117"/>
        <v>125500</v>
      </c>
      <c r="AA113" s="39">
        <f t="shared" si="117"/>
        <v>125500</v>
      </c>
      <c r="AB113" s="39">
        <f t="shared" si="117"/>
        <v>125500</v>
      </c>
      <c r="AC113" s="39">
        <f t="shared" si="117"/>
        <v>125500</v>
      </c>
      <c r="AD113" s="39">
        <f t="shared" si="117"/>
        <v>125500</v>
      </c>
      <c r="AE113" s="39">
        <f t="shared" si="117"/>
        <v>125500</v>
      </c>
      <c r="AF113" s="39">
        <f t="shared" si="105"/>
        <v>1506000</v>
      </c>
      <c r="AG113" s="39">
        <f t="shared" si="106"/>
        <v>20767.915699999779</v>
      </c>
      <c r="AH113" s="24"/>
      <c r="AI113" s="24"/>
      <c r="AJ113" s="24"/>
      <c r="AK113" s="37" t="s">
        <v>44</v>
      </c>
      <c r="AL113" s="39">
        <f t="shared" ref="AL113:AW113" si="118">SUM(AL17,AL40)</f>
        <v>125500</v>
      </c>
      <c r="AM113" s="39">
        <f t="shared" si="118"/>
        <v>125500</v>
      </c>
      <c r="AN113" s="39">
        <f t="shared" si="118"/>
        <v>125500</v>
      </c>
      <c r="AO113" s="39">
        <f t="shared" si="118"/>
        <v>125500</v>
      </c>
      <c r="AP113" s="39">
        <f t="shared" si="118"/>
        <v>125500</v>
      </c>
      <c r="AQ113" s="39">
        <f t="shared" si="118"/>
        <v>125500</v>
      </c>
      <c r="AR113" s="39">
        <f t="shared" si="118"/>
        <v>125500</v>
      </c>
      <c r="AS113" s="39">
        <f t="shared" si="118"/>
        <v>125500</v>
      </c>
      <c r="AT113" s="39">
        <f t="shared" si="118"/>
        <v>125500</v>
      </c>
      <c r="AU113" s="39">
        <f t="shared" si="118"/>
        <v>125500</v>
      </c>
      <c r="AV113" s="39">
        <f t="shared" si="118"/>
        <v>125500</v>
      </c>
      <c r="AW113" s="39">
        <f t="shared" si="118"/>
        <v>125500</v>
      </c>
      <c r="AX113" s="39">
        <f t="shared" si="108"/>
        <v>1506000</v>
      </c>
      <c r="AY113" s="39">
        <f t="shared" si="109"/>
        <v>0</v>
      </c>
      <c r="AZ113" s="24"/>
      <c r="BA113" s="24"/>
      <c r="BB113" s="24"/>
    </row>
    <row r="114" spans="1:54">
      <c r="A114" s="37" t="s">
        <v>45</v>
      </c>
      <c r="B114" s="39">
        <f>+B24</f>
        <v>62329.769472</v>
      </c>
      <c r="C114" s="39">
        <f>+C24</f>
        <v>57860.260331999998</v>
      </c>
      <c r="D114" s="39">
        <f t="shared" ref="D114:M114" si="119">+D24</f>
        <v>62880.857688000004</v>
      </c>
      <c r="E114" s="39">
        <f t="shared" si="119"/>
        <v>71729.453737999997</v>
      </c>
      <c r="F114" s="39">
        <f t="shared" si="119"/>
        <v>55017.553411000001</v>
      </c>
      <c r="G114" s="39">
        <f t="shared" si="119"/>
        <v>70454.727469999998</v>
      </c>
      <c r="H114" s="39">
        <f t="shared" si="119"/>
        <v>66081.917339000007</v>
      </c>
      <c r="I114" s="39">
        <f t="shared" si="119"/>
        <v>59168.2</v>
      </c>
      <c r="J114" s="39">
        <f t="shared" si="119"/>
        <v>67500.87</v>
      </c>
      <c r="K114" s="39">
        <f t="shared" si="119"/>
        <v>64898.8</v>
      </c>
      <c r="L114" s="39">
        <f t="shared" si="119"/>
        <v>54646.01</v>
      </c>
      <c r="M114" s="39">
        <f t="shared" si="119"/>
        <v>57330.57</v>
      </c>
      <c r="N114" s="39">
        <f t="shared" si="103"/>
        <v>749898.98945000011</v>
      </c>
      <c r="O114" s="39"/>
      <c r="P114" s="39"/>
      <c r="Q114" s="24"/>
      <c r="R114" s="24"/>
      <c r="S114" s="37" t="s">
        <v>45</v>
      </c>
      <c r="T114" s="39">
        <f>+T24</f>
        <v>73250</v>
      </c>
      <c r="U114" s="39">
        <f>+U24</f>
        <v>73250</v>
      </c>
      <c r="V114" s="39">
        <f t="shared" ref="V114:AE114" si="120">+V24</f>
        <v>73250</v>
      </c>
      <c r="W114" s="39">
        <f t="shared" si="120"/>
        <v>73250</v>
      </c>
      <c r="X114" s="39">
        <f t="shared" si="120"/>
        <v>73250</v>
      </c>
      <c r="Y114" s="39">
        <f t="shared" si="120"/>
        <v>73250</v>
      </c>
      <c r="Z114" s="39">
        <f t="shared" si="120"/>
        <v>73250</v>
      </c>
      <c r="AA114" s="39">
        <f t="shared" si="120"/>
        <v>73250</v>
      </c>
      <c r="AB114" s="39">
        <f t="shared" si="120"/>
        <v>73250</v>
      </c>
      <c r="AC114" s="39">
        <f t="shared" si="120"/>
        <v>73250</v>
      </c>
      <c r="AD114" s="39">
        <f t="shared" si="120"/>
        <v>73250</v>
      </c>
      <c r="AE114" s="39">
        <f t="shared" si="120"/>
        <v>73250</v>
      </c>
      <c r="AF114" s="39">
        <f t="shared" si="105"/>
        <v>879000</v>
      </c>
      <c r="AG114" s="39">
        <f t="shared" si="106"/>
        <v>129101.01054999989</v>
      </c>
      <c r="AH114" s="39"/>
      <c r="AI114" s="24"/>
      <c r="AJ114" s="24"/>
      <c r="AK114" s="37" t="s">
        <v>45</v>
      </c>
      <c r="AL114" s="39">
        <f>+AL24</f>
        <v>73250</v>
      </c>
      <c r="AM114" s="39">
        <f>+AM24</f>
        <v>73250</v>
      </c>
      <c r="AN114" s="39">
        <f t="shared" ref="AN114:AW114" si="121">+AN24</f>
        <v>73250</v>
      </c>
      <c r="AO114" s="39">
        <f t="shared" si="121"/>
        <v>73250</v>
      </c>
      <c r="AP114" s="39">
        <f t="shared" si="121"/>
        <v>73250</v>
      </c>
      <c r="AQ114" s="39">
        <f t="shared" si="121"/>
        <v>73250</v>
      </c>
      <c r="AR114" s="39">
        <f t="shared" si="121"/>
        <v>73250</v>
      </c>
      <c r="AS114" s="39">
        <f t="shared" si="121"/>
        <v>73250</v>
      </c>
      <c r="AT114" s="39">
        <f t="shared" si="121"/>
        <v>73250</v>
      </c>
      <c r="AU114" s="39">
        <f t="shared" si="121"/>
        <v>73250</v>
      </c>
      <c r="AV114" s="39">
        <f t="shared" si="121"/>
        <v>73250</v>
      </c>
      <c r="AW114" s="39">
        <f t="shared" si="121"/>
        <v>73250</v>
      </c>
      <c r="AX114" s="39">
        <f t="shared" si="108"/>
        <v>879000</v>
      </c>
      <c r="AY114" s="39">
        <f t="shared" si="109"/>
        <v>0</v>
      </c>
      <c r="AZ114" s="39"/>
      <c r="BA114" s="24"/>
      <c r="BB114" s="24"/>
    </row>
    <row r="115" spans="1:54">
      <c r="A115" s="338" t="s">
        <v>0</v>
      </c>
      <c r="B115" s="39">
        <f t="shared" ref="B115:M115" si="122">SUM(B110:B114)</f>
        <v>1688692.1852719998</v>
      </c>
      <c r="C115" s="39">
        <f t="shared" si="122"/>
        <v>1678764.1980819998</v>
      </c>
      <c r="D115" s="39">
        <f t="shared" si="122"/>
        <v>1684206.505688</v>
      </c>
      <c r="E115" s="39">
        <f t="shared" si="122"/>
        <v>1835305.2194879998</v>
      </c>
      <c r="F115" s="39">
        <f t="shared" si="122"/>
        <v>1798614.8288109999</v>
      </c>
      <c r="G115" s="39">
        <f t="shared" si="122"/>
        <v>1818096.4326199999</v>
      </c>
      <c r="H115" s="39">
        <f t="shared" si="122"/>
        <v>1813723.6224889997</v>
      </c>
      <c r="I115" s="39">
        <f t="shared" si="122"/>
        <v>1799143.6908999998</v>
      </c>
      <c r="J115" s="39">
        <f t="shared" si="122"/>
        <v>1815518.2878999999</v>
      </c>
      <c r="K115" s="39">
        <f t="shared" si="122"/>
        <v>1622710.6114000001</v>
      </c>
      <c r="L115" s="39">
        <f t="shared" si="122"/>
        <v>1616496.9214000001</v>
      </c>
      <c r="M115" s="39">
        <f t="shared" si="122"/>
        <v>1615142.3814000001</v>
      </c>
      <c r="N115" s="39">
        <f t="shared" si="103"/>
        <v>20786414.885449998</v>
      </c>
      <c r="O115" s="39"/>
      <c r="P115" s="24"/>
      <c r="Q115" s="24"/>
      <c r="R115" s="24"/>
      <c r="S115" s="37" t="s">
        <v>46</v>
      </c>
      <c r="T115" s="39">
        <f t="shared" ref="T115:AE115" si="123">SUM(T110:T114)</f>
        <v>1662944.9012</v>
      </c>
      <c r="U115" s="39">
        <f t="shared" si="123"/>
        <v>1662944.9012</v>
      </c>
      <c r="V115" s="39">
        <f t="shared" si="123"/>
        <v>1662944.9012</v>
      </c>
      <c r="W115" s="39">
        <f t="shared" si="123"/>
        <v>1801338.2512000001</v>
      </c>
      <c r="X115" s="39">
        <f t="shared" si="123"/>
        <v>1848953.3511999999</v>
      </c>
      <c r="Y115" s="39">
        <f t="shared" si="123"/>
        <v>1848953.3511999999</v>
      </c>
      <c r="Z115" s="39">
        <f t="shared" si="123"/>
        <v>1848953.3511999999</v>
      </c>
      <c r="AA115" s="39">
        <f t="shared" si="123"/>
        <v>1848953.3511999999</v>
      </c>
      <c r="AB115" s="39">
        <f t="shared" si="123"/>
        <v>1848953.3511999999</v>
      </c>
      <c r="AC115" s="39">
        <f t="shared" si="123"/>
        <v>1662944.9012</v>
      </c>
      <c r="AD115" s="39">
        <f t="shared" si="123"/>
        <v>1662944.9012</v>
      </c>
      <c r="AE115" s="39">
        <f t="shared" si="123"/>
        <v>1662944.9012</v>
      </c>
      <c r="AF115" s="39">
        <f t="shared" si="105"/>
        <v>21023774.414399996</v>
      </c>
      <c r="AG115" s="39">
        <f t="shared" si="106"/>
        <v>237359.52894999832</v>
      </c>
      <c r="AH115" s="24"/>
      <c r="AI115" s="24"/>
      <c r="AJ115" s="24"/>
      <c r="AK115" s="37" t="s">
        <v>46</v>
      </c>
      <c r="AL115" s="39">
        <f t="shared" ref="AL115:AW115" si="124">SUM(AL110:AL114)</f>
        <v>1662944.9012</v>
      </c>
      <c r="AM115" s="39">
        <f t="shared" si="124"/>
        <v>1662944.9012</v>
      </c>
      <c r="AN115" s="39">
        <f t="shared" si="124"/>
        <v>1662944.9012</v>
      </c>
      <c r="AO115" s="39">
        <f t="shared" si="124"/>
        <v>1801338.2512000001</v>
      </c>
      <c r="AP115" s="39">
        <f t="shared" si="124"/>
        <v>1848953.3511999999</v>
      </c>
      <c r="AQ115" s="39">
        <f t="shared" si="124"/>
        <v>1848953.3511999999</v>
      </c>
      <c r="AR115" s="39">
        <f t="shared" si="124"/>
        <v>1848953.3511999999</v>
      </c>
      <c r="AS115" s="39">
        <f t="shared" si="124"/>
        <v>1848953.3511999999</v>
      </c>
      <c r="AT115" s="39">
        <f t="shared" si="124"/>
        <v>1848953.3511999999</v>
      </c>
      <c r="AU115" s="39">
        <f t="shared" si="124"/>
        <v>1662944.9012</v>
      </c>
      <c r="AV115" s="39">
        <f t="shared" si="124"/>
        <v>1662944.9012</v>
      </c>
      <c r="AW115" s="39">
        <f t="shared" si="124"/>
        <v>1662944.9012</v>
      </c>
      <c r="AX115" s="39">
        <f t="shared" si="108"/>
        <v>21023774.414399996</v>
      </c>
      <c r="AY115" s="39">
        <f t="shared" si="109"/>
        <v>0</v>
      </c>
      <c r="AZ115" s="24"/>
      <c r="BA115" s="24"/>
      <c r="BB115" s="24"/>
    </row>
    <row r="116" spans="1:54">
      <c r="A116" s="338"/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197"/>
      <c r="O116" s="39"/>
      <c r="P116" s="24"/>
      <c r="Q116" s="24"/>
      <c r="R116" s="24"/>
      <c r="S116" s="338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197"/>
      <c r="AG116" s="39"/>
      <c r="AH116" s="24"/>
      <c r="AI116" s="24"/>
      <c r="AJ116" s="24"/>
      <c r="AK116" s="338"/>
      <c r="AL116" s="39"/>
      <c r="AM116" s="39"/>
      <c r="AN116" s="39"/>
      <c r="AO116" s="39"/>
      <c r="AP116" s="39"/>
      <c r="AQ116" s="39"/>
      <c r="AR116" s="39"/>
      <c r="AS116" s="39"/>
      <c r="AT116" s="39"/>
      <c r="AU116" s="39"/>
      <c r="AV116" s="39"/>
      <c r="AW116" s="39"/>
      <c r="AX116" s="197"/>
      <c r="AY116" s="39"/>
      <c r="AZ116" s="24"/>
      <c r="BA116" s="24"/>
      <c r="BB116" s="24"/>
    </row>
    <row r="117" spans="1:54">
      <c r="A117" s="338" t="s">
        <v>349</v>
      </c>
      <c r="B117" s="197">
        <f>SUM(B110:B111,B113)</f>
        <v>1078033.0721</v>
      </c>
      <c r="C117" s="197">
        <f t="shared" ref="C117:M117" si="125">SUM(C110:C111,C113)</f>
        <v>1072574.59405</v>
      </c>
      <c r="D117" s="197">
        <f t="shared" si="125"/>
        <v>1072996.3043</v>
      </c>
      <c r="E117" s="197">
        <f t="shared" si="125"/>
        <v>1215246.4220499999</v>
      </c>
      <c r="F117" s="197">
        <f t="shared" si="125"/>
        <v>1148688.3751000001</v>
      </c>
      <c r="G117" s="197">
        <f t="shared" si="125"/>
        <v>1152732.80485</v>
      </c>
      <c r="H117" s="197">
        <f t="shared" si="125"/>
        <v>1152732.80485</v>
      </c>
      <c r="I117" s="197">
        <f t="shared" si="125"/>
        <v>1145066.5906</v>
      </c>
      <c r="J117" s="197">
        <f t="shared" si="125"/>
        <v>1153108.5175999999</v>
      </c>
      <c r="K117" s="197">
        <f t="shared" si="125"/>
        <v>1010014.4950999999</v>
      </c>
      <c r="L117" s="197">
        <f t="shared" si="125"/>
        <v>1014053.5950999999</v>
      </c>
      <c r="M117" s="197">
        <f t="shared" si="125"/>
        <v>1010014.4950999999</v>
      </c>
      <c r="N117" s="197">
        <f>SUM(N110:N111,N113)</f>
        <v>13225262.070800001</v>
      </c>
      <c r="O117" s="128"/>
      <c r="P117" s="24"/>
      <c r="Q117" s="24"/>
      <c r="R117" s="24"/>
      <c r="S117" s="338" t="s">
        <v>349</v>
      </c>
      <c r="T117" s="197">
        <f t="shared" ref="T117:AE117" si="126">SUM(T110:T111,T113)</f>
        <v>1036722.7161999999</v>
      </c>
      <c r="U117" s="197">
        <f t="shared" si="126"/>
        <v>1036722.7161999999</v>
      </c>
      <c r="V117" s="197">
        <f t="shared" si="126"/>
        <v>1036722.7161999999</v>
      </c>
      <c r="W117" s="197">
        <f t="shared" si="126"/>
        <v>1175116.0662</v>
      </c>
      <c r="X117" s="197">
        <f t="shared" si="126"/>
        <v>1175116.0662</v>
      </c>
      <c r="Y117" s="197">
        <f t="shared" si="126"/>
        <v>1175116.0662</v>
      </c>
      <c r="Z117" s="197">
        <f t="shared" si="126"/>
        <v>1175116.0662</v>
      </c>
      <c r="AA117" s="197">
        <f t="shared" si="126"/>
        <v>1175116.0662</v>
      </c>
      <c r="AB117" s="197">
        <f t="shared" si="126"/>
        <v>1175116.0662</v>
      </c>
      <c r="AC117" s="197">
        <f t="shared" si="126"/>
        <v>1036722.7161999999</v>
      </c>
      <c r="AD117" s="197">
        <f t="shared" si="126"/>
        <v>1036722.7161999999</v>
      </c>
      <c r="AE117" s="197">
        <f t="shared" si="126"/>
        <v>1036722.7161999999</v>
      </c>
      <c r="AF117" s="197">
        <f>SUM(AF110:AF111,AF113)</f>
        <v>13271032.694400001</v>
      </c>
      <c r="AG117" s="128"/>
      <c r="AH117" s="24"/>
      <c r="AI117" s="24"/>
      <c r="AJ117" s="24"/>
      <c r="AK117" s="338" t="s">
        <v>349</v>
      </c>
      <c r="AL117" s="197">
        <f t="shared" ref="AL117:AW117" si="127">SUM(AL110:AL111,AL113)</f>
        <v>1036722.7161999999</v>
      </c>
      <c r="AM117" s="197">
        <f t="shared" si="127"/>
        <v>1036722.7161999999</v>
      </c>
      <c r="AN117" s="197">
        <f t="shared" si="127"/>
        <v>1036722.7161999999</v>
      </c>
      <c r="AO117" s="197">
        <f t="shared" si="127"/>
        <v>1175116.0662</v>
      </c>
      <c r="AP117" s="197">
        <f t="shared" si="127"/>
        <v>1175116.0662</v>
      </c>
      <c r="AQ117" s="197">
        <f t="shared" si="127"/>
        <v>1175116.0662</v>
      </c>
      <c r="AR117" s="197">
        <f t="shared" si="127"/>
        <v>1175116.0662</v>
      </c>
      <c r="AS117" s="197">
        <f t="shared" si="127"/>
        <v>1175116.0662</v>
      </c>
      <c r="AT117" s="197">
        <f t="shared" si="127"/>
        <v>1175116.0662</v>
      </c>
      <c r="AU117" s="197">
        <f t="shared" si="127"/>
        <v>1036722.7161999999</v>
      </c>
      <c r="AV117" s="197">
        <f t="shared" si="127"/>
        <v>1036722.7161999999</v>
      </c>
      <c r="AW117" s="197">
        <f t="shared" si="127"/>
        <v>1036722.7161999999</v>
      </c>
      <c r="AX117" s="197">
        <f>SUM(AX110:AX111,AX113)</f>
        <v>13271032.694400001</v>
      </c>
      <c r="AY117" s="39"/>
      <c r="AZ117" s="24"/>
      <c r="BA117" s="24"/>
      <c r="BB117" s="24"/>
    </row>
    <row r="118" spans="1:54">
      <c r="A118" s="338" t="s">
        <v>864</v>
      </c>
      <c r="B118" s="197">
        <f t="shared" ref="B118:N118" si="128">SUM(B112,B114:B114)</f>
        <v>610659.11317199992</v>
      </c>
      <c r="C118" s="197">
        <f t="shared" si="128"/>
        <v>606189.60403199994</v>
      </c>
      <c r="D118" s="197">
        <f t="shared" si="128"/>
        <v>611210.20138799993</v>
      </c>
      <c r="E118" s="197">
        <f t="shared" si="128"/>
        <v>620058.79743799998</v>
      </c>
      <c r="F118" s="197">
        <f t="shared" si="128"/>
        <v>649926.45371100004</v>
      </c>
      <c r="G118" s="197">
        <f t="shared" si="128"/>
        <v>665363.62777000002</v>
      </c>
      <c r="H118" s="197">
        <f t="shared" si="128"/>
        <v>660990.81763900002</v>
      </c>
      <c r="I118" s="197">
        <f t="shared" si="128"/>
        <v>654077.10029999993</v>
      </c>
      <c r="J118" s="197">
        <f t="shared" si="128"/>
        <v>662409.77029999997</v>
      </c>
      <c r="K118" s="197">
        <f t="shared" si="128"/>
        <v>612696.11630000011</v>
      </c>
      <c r="L118" s="197">
        <f t="shared" si="128"/>
        <v>602443.32630000007</v>
      </c>
      <c r="M118" s="197">
        <f t="shared" si="128"/>
        <v>605127.88630000001</v>
      </c>
      <c r="N118" s="197">
        <f t="shared" si="128"/>
        <v>7561152.8146500001</v>
      </c>
      <c r="O118" s="128"/>
      <c r="P118" s="24"/>
      <c r="Q118" s="24"/>
      <c r="R118" s="24"/>
      <c r="S118" s="338" t="s">
        <v>348</v>
      </c>
      <c r="T118" s="197">
        <f t="shared" ref="T118:AF118" si="129">SUM(T112,T114:T114)</f>
        <v>626222.18500000006</v>
      </c>
      <c r="U118" s="197">
        <f t="shared" si="129"/>
        <v>626222.18500000006</v>
      </c>
      <c r="V118" s="197">
        <f t="shared" si="129"/>
        <v>626222.18500000006</v>
      </c>
      <c r="W118" s="197">
        <f t="shared" si="129"/>
        <v>626222.18500000006</v>
      </c>
      <c r="X118" s="197">
        <f t="shared" si="129"/>
        <v>673837.28500000003</v>
      </c>
      <c r="Y118" s="197">
        <f t="shared" si="129"/>
        <v>673837.28500000003</v>
      </c>
      <c r="Z118" s="197">
        <f t="shared" si="129"/>
        <v>673837.28500000003</v>
      </c>
      <c r="AA118" s="197">
        <f t="shared" si="129"/>
        <v>673837.28500000003</v>
      </c>
      <c r="AB118" s="197">
        <f t="shared" si="129"/>
        <v>673837.28500000003</v>
      </c>
      <c r="AC118" s="197">
        <f t="shared" si="129"/>
        <v>626222.18500000006</v>
      </c>
      <c r="AD118" s="197">
        <f t="shared" si="129"/>
        <v>626222.18500000006</v>
      </c>
      <c r="AE118" s="197">
        <f t="shared" si="129"/>
        <v>626222.18500000006</v>
      </c>
      <c r="AF118" s="197">
        <f t="shared" si="129"/>
        <v>7752741.7200000025</v>
      </c>
      <c r="AG118" s="128"/>
      <c r="AH118" s="24"/>
      <c r="AI118" s="24"/>
      <c r="AJ118" s="24"/>
      <c r="AK118" s="338" t="s">
        <v>348</v>
      </c>
      <c r="AL118" s="197">
        <f t="shared" ref="AL118:AX118" si="130">SUM(AL112,AL114:AL114)</f>
        <v>626222.18500000006</v>
      </c>
      <c r="AM118" s="197">
        <f t="shared" si="130"/>
        <v>626222.18500000006</v>
      </c>
      <c r="AN118" s="197">
        <f t="shared" si="130"/>
        <v>626222.18500000006</v>
      </c>
      <c r="AO118" s="197">
        <f t="shared" si="130"/>
        <v>626222.18500000006</v>
      </c>
      <c r="AP118" s="197">
        <f t="shared" si="130"/>
        <v>673837.28500000003</v>
      </c>
      <c r="AQ118" s="197">
        <f t="shared" si="130"/>
        <v>673837.28500000003</v>
      </c>
      <c r="AR118" s="197">
        <f t="shared" si="130"/>
        <v>673837.28500000003</v>
      </c>
      <c r="AS118" s="197">
        <f t="shared" si="130"/>
        <v>673837.28500000003</v>
      </c>
      <c r="AT118" s="197">
        <f t="shared" si="130"/>
        <v>673837.28500000003</v>
      </c>
      <c r="AU118" s="197">
        <f t="shared" si="130"/>
        <v>626222.18500000006</v>
      </c>
      <c r="AV118" s="197">
        <f t="shared" si="130"/>
        <v>626222.18500000006</v>
      </c>
      <c r="AW118" s="197">
        <f t="shared" si="130"/>
        <v>626222.18500000006</v>
      </c>
      <c r="AX118" s="197">
        <f t="shared" si="130"/>
        <v>7752741.7200000025</v>
      </c>
      <c r="AY118" s="39"/>
      <c r="AZ118" s="24"/>
      <c r="BA118" s="24"/>
      <c r="BB118" s="24"/>
    </row>
    <row r="119" spans="1:54"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  <c r="BB119" s="24"/>
    </row>
    <row r="120" spans="1:54"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24"/>
      <c r="P120" s="24"/>
      <c r="Q120" s="24"/>
      <c r="R120" s="24"/>
      <c r="T120" s="24"/>
      <c r="U120" s="24"/>
      <c r="V120" s="24"/>
      <c r="W120" s="24"/>
      <c r="X120" s="39"/>
      <c r="Y120" s="39"/>
      <c r="Z120" s="39"/>
      <c r="AA120" s="39"/>
      <c r="AB120" s="39"/>
      <c r="AC120" s="39"/>
      <c r="AD120" s="39"/>
      <c r="AE120" s="39"/>
      <c r="AF120" s="39"/>
      <c r="AG120" s="24"/>
      <c r="AH120" s="24"/>
      <c r="AI120" s="24"/>
      <c r="AJ120" s="24"/>
      <c r="AL120" s="24"/>
      <c r="AM120" s="24"/>
      <c r="AN120" s="24"/>
      <c r="AO120" s="24"/>
      <c r="AP120" s="39"/>
      <c r="AQ120" s="39"/>
      <c r="AR120" s="39"/>
      <c r="AS120" s="39"/>
      <c r="AT120" s="39"/>
      <c r="AU120" s="39"/>
      <c r="AV120" s="39"/>
      <c r="AW120" s="39"/>
      <c r="AX120" s="39"/>
      <c r="AY120" s="24"/>
      <c r="AZ120" s="24"/>
      <c r="BA120" s="24"/>
      <c r="BB120" s="24"/>
    </row>
    <row r="121" spans="1:54">
      <c r="B121" s="66"/>
      <c r="C121" s="66"/>
      <c r="D121" s="66"/>
      <c r="E121" s="66"/>
      <c r="F121" s="66"/>
      <c r="G121" s="66"/>
      <c r="H121" s="66"/>
      <c r="I121" s="66"/>
      <c r="J121" s="66"/>
      <c r="K121" s="66"/>
    </row>
    <row r="123" spans="1:54">
      <c r="N123" s="39"/>
      <c r="O123" s="343"/>
    </row>
    <row r="124" spans="1:54">
      <c r="I124" s="344"/>
      <c r="O124" s="343"/>
    </row>
    <row r="125" spans="1:54">
      <c r="I125" s="344"/>
    </row>
    <row r="126" spans="1:54">
      <c r="I126" s="344"/>
    </row>
    <row r="127" spans="1:54">
      <c r="I127" s="344"/>
    </row>
    <row r="128" spans="1:54">
      <c r="I128" s="344"/>
    </row>
    <row r="139" spans="12:12">
      <c r="L139" s="344"/>
    </row>
  </sheetData>
  <phoneticPr fontId="0" type="noConversion"/>
  <printOptions gridLinesSet="0"/>
  <pageMargins left="0.25" right="0.25" top="0.25" bottom="0.25" header="0.5" footer="0.5"/>
  <pageSetup scale="36" orientation="portrait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9</vt:i4>
      </vt:variant>
    </vt:vector>
  </HeadingPairs>
  <TitlesOfParts>
    <vt:vector size="32" baseType="lpstr">
      <vt:lpstr>PGC BREAKOUT</vt:lpstr>
      <vt:lpstr>WORKBOOK NOTES</vt:lpstr>
      <vt:lpstr>HEDGE REPORT</vt:lpstr>
      <vt:lpstr>NON-PGC HEDGE </vt:lpstr>
      <vt:lpstr>YR SUMMARIES</vt:lpstr>
      <vt:lpstr>YR REPORTS</vt:lpstr>
      <vt:lpstr>FIN OPS REV VOL VS YR REPORTS</vt:lpstr>
      <vt:lpstr>PGC GRAPHS</vt:lpstr>
      <vt:lpstr>NONPGC GRAPHS</vt:lpstr>
      <vt:lpstr>TOTAL GRAPHS</vt:lpstr>
      <vt:lpstr>MCFS</vt:lpstr>
      <vt:lpstr>MCFS GRAPHS</vt:lpstr>
      <vt:lpstr>FT GAS</vt:lpstr>
      <vt:lpstr>EIA and NYMEX</vt:lpstr>
      <vt:lpstr>FSS</vt:lpstr>
      <vt:lpstr>GSS-09</vt:lpstr>
      <vt:lpstr>GSS-97</vt:lpstr>
      <vt:lpstr>GSS-62</vt:lpstr>
      <vt:lpstr>GSS-TOT</vt:lpstr>
      <vt:lpstr>STORAGE TOT</vt:lpstr>
      <vt:lpstr>GAS </vt:lpstr>
      <vt:lpstr>TRANSPORT</vt:lpstr>
      <vt:lpstr>DEMAND</vt:lpstr>
      <vt:lpstr>DEMAND!Print_Area</vt:lpstr>
      <vt:lpstr>'GAS '!Print_Area</vt:lpstr>
      <vt:lpstr>'HEDGE REPORT'!Print_Area</vt:lpstr>
      <vt:lpstr>MCFS!Print_Area</vt:lpstr>
      <vt:lpstr>'MCFS GRAPHS'!Print_Area</vt:lpstr>
      <vt:lpstr>'NON-PGC HEDGE '!Print_Area</vt:lpstr>
      <vt:lpstr>'YR REPORTS'!Print_Area</vt:lpstr>
      <vt:lpstr>'YR SUMMARIES'!Print_Area</vt:lpstr>
      <vt:lpstr>Yr_Summaries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Department of Public Utilities</dc:creator>
  <cp:lastModifiedBy>daughtryd</cp:lastModifiedBy>
  <cp:lastPrinted>2012-05-08T17:46:28Z</cp:lastPrinted>
  <dcterms:created xsi:type="dcterms:W3CDTF">1998-07-10T17:58:25Z</dcterms:created>
  <dcterms:modified xsi:type="dcterms:W3CDTF">2012-08-28T12:36:12Z</dcterms:modified>
</cp:coreProperties>
</file>