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charts/chart78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externalLinks/externalLink1.xml" ContentType="application/vnd.openxmlformats-officedocument.spreadsheetml.externalLink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ml.chartshapes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59.xml" ContentType="application/vnd.openxmlformats-officedocument.drawingml.chart+xml"/>
  <Override PartName="/xl/charts/chart79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charts/chart39.xml" ContentType="application/vnd.openxmlformats-officedocument.drawingml.chart+xml"/>
  <Override PartName="/xl/drawings/drawing3.xml" ContentType="application/vnd.openxmlformats-officedocument.drawing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77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omments3.xml" ContentType="application/vnd.openxmlformats-officedocument.spreadsheetml.comments+xml"/>
  <Override PartName="/xl/charts/chart84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charts/chart82.xml" ContentType="application/vnd.openxmlformats-officedocument.drawingml.chart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drawings/drawing10.xml" ContentType="application/vnd.openxmlformats-officedocument.drawing+xml"/>
  <Override PartName="/xl/charts/chart80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ml.chartshapes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charts/chart76.xml" ContentType="application/vnd.openxmlformats-officedocument.drawingml.chart+xml"/>
  <Override PartName="/xl/externalLinks/externalLink3.xml" ContentType="application/vnd.openxmlformats-officedocument.spreadsheetml.externalLink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omments2.xml" ContentType="application/vnd.openxmlformats-officedocument.spreadsheetml.comments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drawings/drawing11.xml" ContentType="application/vnd.openxmlformats-officedocument.drawing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-45" yWindow="270" windowWidth="14760" windowHeight="8430" firstSheet="12" activeTab="18"/>
  </bookViews>
  <sheets>
    <sheet name="WORKBOOK NOTES" sheetId="24" r:id="rId1"/>
    <sheet name="HEDGE REPORT" sheetId="37" r:id="rId2"/>
    <sheet name="YR SUMMARIES" sheetId="23" r:id="rId3"/>
    <sheet name="YR REPORTS" sheetId="12" r:id="rId4"/>
    <sheet name="FIN OPS REV VOL VS YR REPORTS" sheetId="29" r:id="rId5"/>
    <sheet name="PGC GRAPHS" sheetId="22" r:id="rId6"/>
    <sheet name="NONPGC GRAPHS" sheetId="34" r:id="rId7"/>
    <sheet name="TOTAL GRAPHS" sheetId="30" r:id="rId8"/>
    <sheet name="NON-PGC HEDGE " sheetId="10" r:id="rId9"/>
    <sheet name="MCFS" sheetId="14" r:id="rId10"/>
    <sheet name="MCFS GRAPHS" sheetId="38" r:id="rId11"/>
    <sheet name="FT GAS" sheetId="16" r:id="rId12"/>
    <sheet name="FSS" sheetId="4" r:id="rId13"/>
    <sheet name="GSS-09" sheetId="5" r:id="rId14"/>
    <sheet name="GSS-97" sheetId="6" r:id="rId15"/>
    <sheet name="GSS-62" sheetId="28" r:id="rId16"/>
    <sheet name="GSS-TOT" sheetId="35" r:id="rId17"/>
    <sheet name="STORAGE TOT" sheetId="36" r:id="rId18"/>
    <sheet name="GAS " sheetId="3" r:id="rId19"/>
    <sheet name="TRANSPORT" sheetId="26" r:id="rId20"/>
    <sheet name="DEMAND" sheetId="2" r:id="rId21"/>
  </sheets>
  <externalReferences>
    <externalReference r:id="rId22"/>
    <externalReference r:id="rId23"/>
    <externalReference r:id="rId24"/>
  </externalReferences>
  <definedNames>
    <definedName name="_Key1" localSheetId="20" hidden="1">#REF!</definedName>
    <definedName name="_Key2" localSheetId="20" hidden="1">#REF!</definedName>
    <definedName name="_Order1" localSheetId="20" hidden="1">255</definedName>
    <definedName name="_Order2" localSheetId="20" hidden="1">255</definedName>
    <definedName name="_Sort" localSheetId="20" hidden="1">#REF!</definedName>
    <definedName name="COMMODITY" localSheetId="20">#REF!</definedName>
    <definedName name="DEGREE_DAYS" localSheetId="20">#REF!</definedName>
    <definedName name="FIRM_REQS" localSheetId="20">#REF!</definedName>
    <definedName name="INTERRUP_REQ" localSheetId="20">#REF!</definedName>
    <definedName name="JUL_ACT_DEMAND" localSheetId="20">#REF!</definedName>
    <definedName name="LNG_WACOG" localSheetId="20">#REF!</definedName>
    <definedName name="_xlnm.Print_Area" localSheetId="20">DEMAND!$A$1:$A$108</definedName>
    <definedName name="_xlnm.Print_Area" localSheetId="18">'GAS '!$A$91:$C$182</definedName>
    <definedName name="_xlnm.Print_Area" localSheetId="1">'HEDGE REPORT'!$A$1:$J$52</definedName>
    <definedName name="_xlnm.Print_Area" localSheetId="9">MCFS!$C$1:$L$9</definedName>
    <definedName name="_xlnm.Print_Area" localSheetId="10">'MCFS GRAPHS'!$R$1:$AA$40</definedName>
    <definedName name="_xlnm.Print_Area" localSheetId="8">'NON-PGC HEDGE '!$A$1:$A$19</definedName>
    <definedName name="_xlnm.Print_Area" localSheetId="5">'PGC GRAPHS'!#REF!</definedName>
    <definedName name="_xlnm.Print_Area" localSheetId="3">'YR REPORTS'!$C$129:$O$143</definedName>
    <definedName name="_xlnm.Print_Area" localSheetId="2">'YR SUMMARIES'!$A$4:$R$25</definedName>
    <definedName name="PrintArea">#REF!</definedName>
    <definedName name="STOR_WACOG" localSheetId="20">#REF!</definedName>
    <definedName name="STORAGE" localSheetId="20">#REF!</definedName>
    <definedName name="STORAGE_DATA" localSheetId="20">#REF!</definedName>
    <definedName name="SUMMARY" localSheetId="20">#REF!</definedName>
    <definedName name="YR_REPORT0203">'YR REPORTS'!#REF!</definedName>
    <definedName name="YR_REPORT0304">'YR REPORTS'!#REF!</definedName>
    <definedName name="YR_REPORT0405">'YR REPORTS'!#REF!</definedName>
    <definedName name="Yr_Summaries">'YR SUMMARIES'!$A$3:$I$25</definedName>
  </definedNames>
  <calcPr calcId="125725"/>
</workbook>
</file>

<file path=xl/calcChain.xml><?xml version="1.0" encoding="utf-8"?>
<calcChain xmlns="http://schemas.openxmlformats.org/spreadsheetml/2006/main">
  <c r="M16" i="10"/>
  <c r="M10" i="12"/>
  <c r="M107" i="3" l="1"/>
  <c r="M108" s="1"/>
  <c r="L107"/>
  <c r="L108" s="1"/>
  <c r="N104"/>
  <c r="M105"/>
  <c r="M104"/>
  <c r="L105"/>
  <c r="L104"/>
  <c r="K91"/>
  <c r="N242" i="38"/>
  <c r="N243"/>
  <c r="N212"/>
  <c r="N213"/>
  <c r="N182"/>
  <c r="N183"/>
  <c r="N152"/>
  <c r="N153"/>
  <c r="N122"/>
  <c r="N123"/>
  <c r="N92"/>
  <c r="N93"/>
  <c r="N62"/>
  <c r="N63"/>
  <c r="N32"/>
  <c r="N33"/>
  <c r="N4"/>
  <c r="N3"/>
  <c r="M242"/>
  <c r="M243"/>
  <c r="M212"/>
  <c r="M213"/>
  <c r="M182"/>
  <c r="M183"/>
  <c r="M152"/>
  <c r="M153"/>
  <c r="M122"/>
  <c r="M123"/>
  <c r="M92"/>
  <c r="M93"/>
  <c r="M62"/>
  <c r="M63"/>
  <c r="M32"/>
  <c r="M33"/>
  <c r="M3"/>
  <c r="M4"/>
  <c r="M11" i="10"/>
  <c r="N130" i="3"/>
  <c r="O13" i="26"/>
  <c r="O63"/>
  <c r="O67" s="1"/>
  <c r="O68" s="1"/>
  <c r="O62"/>
  <c r="O66" s="1"/>
  <c r="O59"/>
  <c r="N52"/>
  <c r="O52"/>
  <c r="N53"/>
  <c r="O53"/>
  <c r="N54"/>
  <c r="O54"/>
  <c r="O46"/>
  <c r="O30"/>
  <c r="O38"/>
  <c r="O64" l="1"/>
  <c r="O40" i="3" l="1"/>
  <c r="O41"/>
  <c r="O39"/>
  <c r="N30" i="35" l="1"/>
  <c r="N24" i="28"/>
  <c r="N23"/>
  <c r="N23" i="35" s="1"/>
  <c r="N24" s="1"/>
  <c r="N22" i="28"/>
  <c r="N22" i="35" s="1"/>
  <c r="N23" i="6"/>
  <c r="N31"/>
  <c r="N26"/>
  <c r="N24"/>
  <c r="N22"/>
  <c r="N7" i="5" l="1"/>
  <c r="N29" i="4"/>
  <c r="N9"/>
  <c r="O67" i="12"/>
  <c r="M11" i="22" s="1"/>
  <c r="O9" i="12"/>
  <c r="O10"/>
  <c r="O11"/>
  <c r="N23" i="29"/>
  <c r="M17"/>
  <c r="M6"/>
  <c r="N82" i="3"/>
  <c r="N85" s="1"/>
  <c r="N83"/>
  <c r="N84"/>
  <c r="N86"/>
  <c r="N91"/>
  <c r="N94" s="1"/>
  <c r="N92"/>
  <c r="N93"/>
  <c r="N95"/>
  <c r="N98" s="1"/>
  <c r="N96"/>
  <c r="N97"/>
  <c r="N99"/>
  <c r="N106" s="1"/>
  <c r="N100"/>
  <c r="N102"/>
  <c r="N109"/>
  <c r="N112" s="1"/>
  <c r="N110"/>
  <c r="N111" s="1"/>
  <c r="N113"/>
  <c r="N114" s="1"/>
  <c r="N116"/>
  <c r="N119" s="1"/>
  <c r="N117"/>
  <c r="N118"/>
  <c r="N121"/>
  <c r="N124" s="1"/>
  <c r="N122"/>
  <c r="N123"/>
  <c r="N125"/>
  <c r="N128" s="1"/>
  <c r="N126"/>
  <c r="N127"/>
  <c r="N135"/>
  <c r="N139"/>
  <c r="N142" s="1"/>
  <c r="N150"/>
  <c r="N151"/>
  <c r="N152"/>
  <c r="N154"/>
  <c r="N155"/>
  <c r="N75"/>
  <c r="N72"/>
  <c r="N69"/>
  <c r="N40"/>
  <c r="N57"/>
  <c r="N58"/>
  <c r="N59" s="1"/>
  <c r="N38"/>
  <c r="N37" s="1"/>
  <c r="N32"/>
  <c r="N7" i="28" l="1"/>
  <c r="N7" i="6"/>
  <c r="N153" i="3"/>
  <c r="N87"/>
  <c r="N88" s="1"/>
  <c r="N89" s="1"/>
  <c r="N30" l="1"/>
  <c r="K40"/>
  <c r="N31"/>
  <c r="N20"/>
  <c r="N21"/>
  <c r="N22"/>
  <c r="N23"/>
  <c r="N24"/>
  <c r="N19"/>
  <c r="N16"/>
  <c r="N3"/>
  <c r="O110" i="14" l="1"/>
  <c r="O111" s="1"/>
  <c r="O112"/>
  <c r="O113" s="1"/>
  <c r="O114"/>
  <c r="O115" s="1"/>
  <c r="O116"/>
  <c r="O117" s="1"/>
  <c r="O118"/>
  <c r="O119" s="1"/>
  <c r="O120"/>
  <c r="O121" s="1"/>
  <c r="O122"/>
  <c r="O123" s="1"/>
  <c r="O124"/>
  <c r="O125" s="1"/>
  <c r="O126"/>
  <c r="O127" s="1"/>
  <c r="O128"/>
  <c r="O129" s="1"/>
  <c r="O130"/>
  <c r="O131" s="1"/>
  <c r="O132"/>
  <c r="O133" s="1"/>
  <c r="O134"/>
  <c r="O135" s="1"/>
  <c r="O136"/>
  <c r="O137" s="1"/>
  <c r="O138"/>
  <c r="O139" s="1"/>
  <c r="O140"/>
  <c r="O141" s="1"/>
  <c r="O142"/>
  <c r="O143" s="1"/>
  <c r="O144"/>
  <c r="O145" s="1"/>
  <c r="O146"/>
  <c r="O147" s="1"/>
  <c r="O148"/>
  <c r="O149" s="1"/>
  <c r="O150"/>
  <c r="O151" s="1"/>
  <c r="O152"/>
  <c r="O153" s="1"/>
  <c r="O154"/>
  <c r="O155" s="1"/>
  <c r="O156"/>
  <c r="O157" s="1"/>
  <c r="O158"/>
  <c r="O159" s="1"/>
  <c r="O160"/>
  <c r="O161" s="1"/>
  <c r="O162"/>
  <c r="O163" s="1"/>
  <c r="O164"/>
  <c r="O165" s="1"/>
  <c r="O166"/>
  <c r="O167" s="1"/>
  <c r="O168"/>
  <c r="O169" s="1"/>
  <c r="O170"/>
  <c r="O171" s="1"/>
  <c r="O172"/>
  <c r="O173" s="1"/>
  <c r="O174"/>
  <c r="O175" s="1"/>
  <c r="O176"/>
  <c r="O177" s="1"/>
  <c r="O178"/>
  <c r="O179" s="1"/>
  <c r="O180"/>
  <c r="O181" s="1"/>
  <c r="O96"/>
  <c r="O97"/>
  <c r="O98"/>
  <c r="O99"/>
  <c r="O100" s="1"/>
  <c r="O101"/>
  <c r="O102" s="1"/>
  <c r="O103"/>
  <c r="O104" s="1"/>
  <c r="O105"/>
  <c r="O106" s="1"/>
  <c r="O92"/>
  <c r="O93"/>
  <c r="O94"/>
  <c r="O84"/>
  <c r="O85"/>
  <c r="O86"/>
  <c r="O87"/>
  <c r="O88" s="1"/>
  <c r="O89"/>
  <c r="O90" s="1"/>
  <c r="O80"/>
  <c r="O81"/>
  <c r="O82"/>
  <c r="O76"/>
  <c r="O77"/>
  <c r="O78"/>
  <c r="O72"/>
  <c r="O73"/>
  <c r="O74"/>
  <c r="L242" i="38" l="1"/>
  <c r="L243"/>
  <c r="L212"/>
  <c r="L213"/>
  <c r="L182"/>
  <c r="L183"/>
  <c r="L152"/>
  <c r="L153"/>
  <c r="L122"/>
  <c r="L123"/>
  <c r="L92"/>
  <c r="L93"/>
  <c r="L62"/>
  <c r="L63"/>
  <c r="L32"/>
  <c r="L33"/>
  <c r="L3"/>
  <c r="L4"/>
  <c r="L16" i="10" l="1"/>
  <c r="L11"/>
  <c r="M30" i="35"/>
  <c r="L31" i="28"/>
  <c r="M31"/>
  <c r="M24"/>
  <c r="M22"/>
  <c r="M22" i="35" s="1"/>
  <c r="M23" i="28"/>
  <c r="M23" i="35" s="1"/>
  <c r="M24" s="1"/>
  <c r="M24" i="6"/>
  <c r="M26"/>
  <c r="M31"/>
  <c r="M23"/>
  <c r="M22"/>
  <c r="M31" i="5"/>
  <c r="M26"/>
  <c r="M61" i="3"/>
  <c r="M62" s="1"/>
  <c r="M63" s="1"/>
  <c r="M60"/>
  <c r="M58"/>
  <c r="M59" s="1"/>
  <c r="M57"/>
  <c r="M24"/>
  <c r="M23"/>
  <c r="M21"/>
  <c r="M22" s="1"/>
  <c r="M7" i="5" s="1"/>
  <c r="M20" i="3"/>
  <c r="M26" i="28" l="1"/>
  <c r="M64" i="3"/>
  <c r="M65"/>
  <c r="M29" i="4" l="1"/>
  <c r="L47" i="2" l="1"/>
  <c r="O151" i="3"/>
  <c r="O152"/>
  <c r="O154"/>
  <c r="M154"/>
  <c r="M155" s="1"/>
  <c r="M152"/>
  <c r="M151"/>
  <c r="M150"/>
  <c r="N63" i="26"/>
  <c r="N67" s="1"/>
  <c r="N68" s="1"/>
  <c r="N62"/>
  <c r="N66" s="1"/>
  <c r="N59"/>
  <c r="N46"/>
  <c r="N38"/>
  <c r="N30"/>
  <c r="N23"/>
  <c r="N24"/>
  <c r="N25"/>
  <c r="N21"/>
  <c r="N20"/>
  <c r="N13"/>
  <c r="L130" i="3"/>
  <c r="M139"/>
  <c r="M142" s="1"/>
  <c r="M135"/>
  <c r="M127"/>
  <c r="M126"/>
  <c r="M125"/>
  <c r="M128" s="1"/>
  <c r="M118"/>
  <c r="M117"/>
  <c r="M116"/>
  <c r="M102"/>
  <c r="M100"/>
  <c r="M99"/>
  <c r="M96"/>
  <c r="M95"/>
  <c r="M92"/>
  <c r="M110" s="1"/>
  <c r="M91"/>
  <c r="M86"/>
  <c r="M87" s="1"/>
  <c r="M85"/>
  <c r="M153" l="1"/>
  <c r="M130"/>
  <c r="M88"/>
  <c r="M89" s="1"/>
  <c r="M9" i="4"/>
  <c r="M119" i="3"/>
  <c r="N64" i="26"/>
  <c r="M113" i="3"/>
  <c r="M111"/>
  <c r="M93"/>
  <c r="M97"/>
  <c r="M109"/>
  <c r="M98" s="1"/>
  <c r="M94"/>
  <c r="M122" l="1"/>
  <c r="M112"/>
  <c r="M123"/>
  <c r="M121"/>
  <c r="M114"/>
  <c r="M106"/>
  <c r="M124" l="1"/>
  <c r="M34" l="1"/>
  <c r="M32" l="1"/>
  <c r="M30"/>
  <c r="M38"/>
  <c r="M37" s="1"/>
  <c r="M31" l="1"/>
  <c r="M82" l="1"/>
  <c r="M83"/>
  <c r="M84"/>
  <c r="M75"/>
  <c r="M72"/>
  <c r="M69"/>
  <c r="M19"/>
  <c r="M16"/>
  <c r="M3" l="1"/>
  <c r="M27" i="4" l="1"/>
  <c r="N9" i="12" l="1"/>
  <c r="N10"/>
  <c r="N11"/>
  <c r="L17" i="29"/>
  <c r="L6"/>
  <c r="N178" i="14"/>
  <c r="N180" s="1"/>
  <c r="N181" s="1"/>
  <c r="N174"/>
  <c r="N176" s="1"/>
  <c r="N177" s="1"/>
  <c r="N170"/>
  <c r="N172" s="1"/>
  <c r="N173" s="1"/>
  <c r="N166"/>
  <c r="N168" s="1"/>
  <c r="N169" s="1"/>
  <c r="N162"/>
  <c r="N164" s="1"/>
  <c r="N165" s="1"/>
  <c r="N158"/>
  <c r="N160" s="1"/>
  <c r="N161" s="1"/>
  <c r="N154"/>
  <c r="N156" s="1"/>
  <c r="N157" s="1"/>
  <c r="N150"/>
  <c r="N152" s="1"/>
  <c r="N153" s="1"/>
  <c r="N146"/>
  <c r="N148" s="1"/>
  <c r="N149" s="1"/>
  <c r="N142"/>
  <c r="N144" s="1"/>
  <c r="N145" s="1"/>
  <c r="N138"/>
  <c r="N140" s="1"/>
  <c r="N141" s="1"/>
  <c r="N134"/>
  <c r="N136" s="1"/>
  <c r="N137" s="1"/>
  <c r="N130"/>
  <c r="N132" s="1"/>
  <c r="N133" s="1"/>
  <c r="N126"/>
  <c r="N128" s="1"/>
  <c r="N129" s="1"/>
  <c r="N122"/>
  <c r="N124" s="1"/>
  <c r="N125" s="1"/>
  <c r="N118"/>
  <c r="N120" s="1"/>
  <c r="N121" s="1"/>
  <c r="N114"/>
  <c r="N116" s="1"/>
  <c r="N117" s="1"/>
  <c r="N110"/>
  <c r="N111" s="1"/>
  <c r="N101"/>
  <c r="N105" s="1"/>
  <c r="N106" s="1"/>
  <c r="N99"/>
  <c r="N103" s="1"/>
  <c r="N104" s="1"/>
  <c r="N98"/>
  <c r="N97"/>
  <c r="N96"/>
  <c r="N94"/>
  <c r="N93"/>
  <c r="N92"/>
  <c r="N87"/>
  <c r="N88" s="1"/>
  <c r="N89"/>
  <c r="N90" s="1"/>
  <c r="N86"/>
  <c r="N85"/>
  <c r="N84"/>
  <c r="N82"/>
  <c r="N81"/>
  <c r="N80"/>
  <c r="N78"/>
  <c r="N77"/>
  <c r="N76"/>
  <c r="N74"/>
  <c r="N73"/>
  <c r="O29"/>
  <c r="N112" l="1"/>
  <c r="N113" s="1"/>
  <c r="N115"/>
  <c r="N119"/>
  <c r="N123"/>
  <c r="N127"/>
  <c r="N131"/>
  <c r="N135"/>
  <c r="N139"/>
  <c r="N143"/>
  <c r="N147"/>
  <c r="N151"/>
  <c r="N155"/>
  <c r="N159"/>
  <c r="N163"/>
  <c r="N167"/>
  <c r="N171"/>
  <c r="N175"/>
  <c r="N179"/>
  <c r="N100"/>
  <c r="N102"/>
  <c r="N72" l="1"/>
  <c r="J242" i="38"/>
  <c r="K242"/>
  <c r="J243"/>
  <c r="K243"/>
  <c r="J212"/>
  <c r="K212"/>
  <c r="J213"/>
  <c r="K213"/>
  <c r="J182"/>
  <c r="K182"/>
  <c r="J183"/>
  <c r="K183"/>
  <c r="J152"/>
  <c r="K152"/>
  <c r="J153"/>
  <c r="K153"/>
  <c r="J122"/>
  <c r="K122"/>
  <c r="J123"/>
  <c r="K123"/>
  <c r="J92"/>
  <c r="K92"/>
  <c r="J93"/>
  <c r="K93"/>
  <c r="J62"/>
  <c r="K62"/>
  <c r="J63"/>
  <c r="K63"/>
  <c r="J32"/>
  <c r="K32"/>
  <c r="J33"/>
  <c r="K33"/>
  <c r="J3"/>
  <c r="K3"/>
  <c r="J4"/>
  <c r="K4"/>
  <c r="H42" i="37" l="1"/>
  <c r="M41" i="12" l="1"/>
  <c r="M63" i="26" l="1"/>
  <c r="M67" s="1"/>
  <c r="M62"/>
  <c r="M66" s="1"/>
  <c r="M59"/>
  <c r="L52"/>
  <c r="M52"/>
  <c r="L53"/>
  <c r="M53"/>
  <c r="L54"/>
  <c r="M54"/>
  <c r="M50"/>
  <c r="M46"/>
  <c r="M38"/>
  <c r="M42"/>
  <c r="M30"/>
  <c r="M23"/>
  <c r="M24"/>
  <c r="M25"/>
  <c r="M21"/>
  <c r="M20"/>
  <c r="M16"/>
  <c r="M12"/>
  <c r="M4"/>
  <c r="P5"/>
  <c r="M68" l="1"/>
  <c r="M64"/>
  <c r="L7" i="5" l="1"/>
  <c r="L9" i="4"/>
  <c r="L23" i="6"/>
  <c r="L22"/>
  <c r="M11" i="12" l="1"/>
  <c r="M12" s="1"/>
  <c r="M9"/>
  <c r="L61" i="3"/>
  <c r="L62" s="1"/>
  <c r="L63" s="1"/>
  <c r="L60"/>
  <c r="L150"/>
  <c r="L151"/>
  <c r="L152"/>
  <c r="L154"/>
  <c r="L155"/>
  <c r="L75"/>
  <c r="L72"/>
  <c r="L69"/>
  <c r="L34"/>
  <c r="L31"/>
  <c r="L32"/>
  <c r="L30"/>
  <c r="L19"/>
  <c r="L16"/>
  <c r="L3"/>
  <c r="L64" l="1"/>
  <c r="L65"/>
  <c r="S52" i="16" l="1"/>
  <c r="AZ122" l="1"/>
  <c r="AZ123" s="1"/>
  <c r="AV67" i="12" s="1"/>
  <c r="AK9" i="4"/>
  <c r="AK10" s="1"/>
  <c r="AX122" i="16"/>
  <c r="AX123" s="1"/>
  <c r="AT67" i="12" s="1"/>
  <c r="AW122" i="16"/>
  <c r="AW123" s="1"/>
  <c r="AS67" i="12" s="1"/>
  <c r="AV122" i="16"/>
  <c r="AV123" s="1"/>
  <c r="AR67" i="12" s="1"/>
  <c r="AU122" i="16"/>
  <c r="AU123" s="1"/>
  <c r="AQ67" i="12" s="1"/>
  <c r="AT122" i="16"/>
  <c r="AT123" s="1"/>
  <c r="AP67" i="12" s="1"/>
  <c r="AS122" i="16"/>
  <c r="AS123" s="1"/>
  <c r="AO67" i="12" s="1"/>
  <c r="AR122" i="16"/>
  <c r="AR123" s="1"/>
  <c r="AN67" i="12" s="1"/>
  <c r="AQ122" i="16"/>
  <c r="AQ123" s="1"/>
  <c r="AM67" i="12" s="1"/>
  <c r="AP122" i="16"/>
  <c r="AP123" s="1"/>
  <c r="AL67" i="12" s="1"/>
  <c r="AA9" i="4"/>
  <c r="AA10" s="1"/>
  <c r="Z9"/>
  <c r="Z10" s="1"/>
  <c r="AH46" i="16"/>
  <c r="AH45" s="1"/>
  <c r="AG46"/>
  <c r="AG45" s="1"/>
  <c r="AF122"/>
  <c r="AF123" s="1"/>
  <c r="AC67" i="12" s="1"/>
  <c r="AE54" i="16"/>
  <c r="AE53" s="1"/>
  <c r="AD134"/>
  <c r="AC46"/>
  <c r="AC45" s="1"/>
  <c r="AC10" i="22"/>
  <c r="AA54" i="16"/>
  <c r="AA53" s="1"/>
  <c r="AA105" s="1"/>
  <c r="AA106" s="1"/>
  <c r="Z54"/>
  <c r="Z53" s="1"/>
  <c r="Z105" s="1"/>
  <c r="Z106" s="1"/>
  <c r="Y134"/>
  <c r="Y10" i="22"/>
  <c r="H26" i="37"/>
  <c r="AP112" i="16"/>
  <c r="AQ112"/>
  <c r="AR112"/>
  <c r="AS112"/>
  <c r="AT112"/>
  <c r="AU112"/>
  <c r="AV112"/>
  <c r="AW112"/>
  <c r="AX112"/>
  <c r="AY112"/>
  <c r="AZ112"/>
  <c r="X112"/>
  <c r="Y112"/>
  <c r="P7" i="5"/>
  <c r="AA112" i="16"/>
  <c r="AB112"/>
  <c r="AD112"/>
  <c r="AE112"/>
  <c r="AF112"/>
  <c r="AG112"/>
  <c r="AH112"/>
  <c r="AI112"/>
  <c r="R112"/>
  <c r="S112" s="1"/>
  <c r="S111" s="1"/>
  <c r="A30" i="14"/>
  <c r="M87"/>
  <c r="M72"/>
  <c r="J11" i="10"/>
  <c r="J10"/>
  <c r="J9"/>
  <c r="J7"/>
  <c r="J6"/>
  <c r="J4"/>
  <c r="K31" i="28"/>
  <c r="K23" i="6"/>
  <c r="K22"/>
  <c r="K7" i="5"/>
  <c r="K7" i="6" s="1"/>
  <c r="K8" s="1"/>
  <c r="L9" i="12"/>
  <c r="L10"/>
  <c r="L11"/>
  <c r="E52" i="37"/>
  <c r="F52" s="1"/>
  <c r="D52"/>
  <c r="AJ68" i="16"/>
  <c r="S68"/>
  <c r="AJ67"/>
  <c r="Y67"/>
  <c r="Z67"/>
  <c r="AA67"/>
  <c r="AB67"/>
  <c r="AC67"/>
  <c r="AD67"/>
  <c r="AE67"/>
  <c r="AF67"/>
  <c r="AG67"/>
  <c r="X67"/>
  <c r="AG69"/>
  <c r="AG105"/>
  <c r="AF69"/>
  <c r="AE69"/>
  <c r="AD69"/>
  <c r="AC69"/>
  <c r="AJ69" s="1"/>
  <c r="AJ70" s="1"/>
  <c r="G52" i="37" s="1"/>
  <c r="AB69" i="16"/>
  <c r="AA69"/>
  <c r="Z69"/>
  <c r="Y69"/>
  <c r="X69"/>
  <c r="R67"/>
  <c r="Q67"/>
  <c r="R69"/>
  <c r="Q69"/>
  <c r="L62" i="26"/>
  <c r="L59"/>
  <c r="L63"/>
  <c r="L64"/>
  <c r="L50"/>
  <c r="L46"/>
  <c r="L42"/>
  <c r="L38"/>
  <c r="L34"/>
  <c r="L30"/>
  <c r="L23"/>
  <c r="L66"/>
  <c r="L20"/>
  <c r="L21"/>
  <c r="L24"/>
  <c r="L16"/>
  <c r="K75" i="3"/>
  <c r="K72"/>
  <c r="K69"/>
  <c r="K31"/>
  <c r="K38"/>
  <c r="K37"/>
  <c r="K36"/>
  <c r="K34"/>
  <c r="K19"/>
  <c r="K16"/>
  <c r="I11" i="10"/>
  <c r="I10"/>
  <c r="I9"/>
  <c r="I7"/>
  <c r="I6"/>
  <c r="I4"/>
  <c r="K9" i="12"/>
  <c r="K2" i="14"/>
  <c r="K73"/>
  <c r="K77"/>
  <c r="K85"/>
  <c r="K93"/>
  <c r="K97"/>
  <c r="K101"/>
  <c r="I182" i="38"/>
  <c r="I183"/>
  <c r="I152"/>
  <c r="I153"/>
  <c r="I92"/>
  <c r="I93"/>
  <c r="I62"/>
  <c r="I32"/>
  <c r="I33"/>
  <c r="I3"/>
  <c r="J23" i="6"/>
  <c r="J22"/>
  <c r="K52" i="26"/>
  <c r="K62"/>
  <c r="K59"/>
  <c r="K63"/>
  <c r="K64"/>
  <c r="K50"/>
  <c r="K46"/>
  <c r="K42"/>
  <c r="J38"/>
  <c r="K38"/>
  <c r="K34"/>
  <c r="K30"/>
  <c r="K53"/>
  <c r="K54"/>
  <c r="K20"/>
  <c r="K21"/>
  <c r="K17"/>
  <c r="K24"/>
  <c r="K15"/>
  <c r="K23"/>
  <c r="K66"/>
  <c r="K12"/>
  <c r="K8"/>
  <c r="K4"/>
  <c r="J134" i="3"/>
  <c r="J75"/>
  <c r="J72"/>
  <c r="J69"/>
  <c r="J38"/>
  <c r="J37"/>
  <c r="J36"/>
  <c r="J34"/>
  <c r="J32"/>
  <c r="J30"/>
  <c r="J31"/>
  <c r="J19"/>
  <c r="J16"/>
  <c r="J6"/>
  <c r="J3"/>
  <c r="H3" i="10"/>
  <c r="H11"/>
  <c r="H9"/>
  <c r="H4"/>
  <c r="Y54" i="16"/>
  <c r="Y53" s="1"/>
  <c r="Y105" s="1"/>
  <c r="Y106" s="1"/>
  <c r="Q54"/>
  <c r="Q53"/>
  <c r="P54"/>
  <c r="H16" i="37"/>
  <c r="I23" i="6"/>
  <c r="I22"/>
  <c r="J2" i="14"/>
  <c r="J73"/>
  <c r="J77"/>
  <c r="J85"/>
  <c r="J93"/>
  <c r="H153" i="38"/>
  <c r="H182"/>
  <c r="H152"/>
  <c r="H92"/>
  <c r="H93"/>
  <c r="H62"/>
  <c r="H32"/>
  <c r="H33"/>
  <c r="H3"/>
  <c r="J63" i="26"/>
  <c r="J62"/>
  <c r="J64"/>
  <c r="J59"/>
  <c r="J52"/>
  <c r="J66"/>
  <c r="J42"/>
  <c r="I46"/>
  <c r="J46"/>
  <c r="J50"/>
  <c r="J34"/>
  <c r="J30"/>
  <c r="J53"/>
  <c r="J54"/>
  <c r="J23"/>
  <c r="J20"/>
  <c r="J21"/>
  <c r="J24"/>
  <c r="J16"/>
  <c r="J8"/>
  <c r="J4"/>
  <c r="I134" i="3"/>
  <c r="I69"/>
  <c r="I72"/>
  <c r="I75"/>
  <c r="I38"/>
  <c r="I37"/>
  <c r="I36"/>
  <c r="I46"/>
  <c r="I34"/>
  <c r="I32"/>
  <c r="I30"/>
  <c r="I31"/>
  <c r="I19"/>
  <c r="I16"/>
  <c r="I6"/>
  <c r="I3"/>
  <c r="I11" i="2"/>
  <c r="I24"/>
  <c r="I30"/>
  <c r="I47"/>
  <c r="I55"/>
  <c r="I59"/>
  <c r="I63"/>
  <c r="I83"/>
  <c r="I67"/>
  <c r="I104"/>
  <c r="I100"/>
  <c r="I106"/>
  <c r="AW55" i="12"/>
  <c r="AG55"/>
  <c r="I55"/>
  <c r="P55"/>
  <c r="D190" i="16"/>
  <c r="D191"/>
  <c r="I191" s="1"/>
  <c r="D192"/>
  <c r="I192" s="1"/>
  <c r="D193"/>
  <c r="I193" s="1"/>
  <c r="D194"/>
  <c r="I194" s="1"/>
  <c r="D195"/>
  <c r="I195" s="1"/>
  <c r="D196"/>
  <c r="I196" s="1"/>
  <c r="D197"/>
  <c r="I197" s="1"/>
  <c r="D198"/>
  <c r="I198" s="1"/>
  <c r="D199"/>
  <c r="I199" s="1"/>
  <c r="D200"/>
  <c r="I200" s="1"/>
  <c r="D201"/>
  <c r="I201" s="1"/>
  <c r="D178"/>
  <c r="D179"/>
  <c r="D180"/>
  <c r="D181"/>
  <c r="D182"/>
  <c r="D183"/>
  <c r="D184"/>
  <c r="D185"/>
  <c r="D186"/>
  <c r="D187"/>
  <c r="D188"/>
  <c r="D189"/>
  <c r="G11" i="10"/>
  <c r="G9"/>
  <c r="G7"/>
  <c r="G6"/>
  <c r="G4"/>
  <c r="H23" i="6"/>
  <c r="H22"/>
  <c r="I50" i="26"/>
  <c r="I62"/>
  <c r="I52"/>
  <c r="I42"/>
  <c r="I38"/>
  <c r="I34"/>
  <c r="I53"/>
  <c r="I54"/>
  <c r="I30"/>
  <c r="I23"/>
  <c r="I66"/>
  <c r="I20"/>
  <c r="I21"/>
  <c r="I24"/>
  <c r="I8"/>
  <c r="I4"/>
  <c r="I16"/>
  <c r="I59"/>
  <c r="I63"/>
  <c r="I64"/>
  <c r="H32" i="3"/>
  <c r="H30"/>
  <c r="H31"/>
  <c r="H38"/>
  <c r="H36"/>
  <c r="H37"/>
  <c r="H75"/>
  <c r="H72"/>
  <c r="H69"/>
  <c r="H46"/>
  <c r="H34"/>
  <c r="H16"/>
  <c r="H19"/>
  <c r="H6"/>
  <c r="I2" i="14"/>
  <c r="I73"/>
  <c r="I77"/>
  <c r="I85"/>
  <c r="I93"/>
  <c r="G153" i="38"/>
  <c r="G182"/>
  <c r="G152"/>
  <c r="G92"/>
  <c r="G93"/>
  <c r="G62"/>
  <c r="G32"/>
  <c r="G33"/>
  <c r="G3"/>
  <c r="N2" i="14"/>
  <c r="N37"/>
  <c r="N42"/>
  <c r="N48"/>
  <c r="N46"/>
  <c r="N50"/>
  <c r="N38"/>
  <c r="N43"/>
  <c r="N51"/>
  <c r="N52"/>
  <c r="M2"/>
  <c r="M73"/>
  <c r="M114" s="1"/>
  <c r="M37"/>
  <c r="M39"/>
  <c r="M110"/>
  <c r="M111" s="1"/>
  <c r="M42"/>
  <c r="M46"/>
  <c r="M38"/>
  <c r="H11" i="2"/>
  <c r="H24"/>
  <c r="H30"/>
  <c r="H47"/>
  <c r="H55"/>
  <c r="H59"/>
  <c r="H63"/>
  <c r="H67"/>
  <c r="H83"/>
  <c r="H100"/>
  <c r="H104"/>
  <c r="H106" s="1"/>
  <c r="G11"/>
  <c r="G24"/>
  <c r="G30"/>
  <c r="G47"/>
  <c r="G55"/>
  <c r="G59"/>
  <c r="G63"/>
  <c r="G67"/>
  <c r="G83"/>
  <c r="G100"/>
  <c r="G104"/>
  <c r="G106"/>
  <c r="J99" i="14"/>
  <c r="H212" i="38"/>
  <c r="J87" i="14"/>
  <c r="H122" i="38"/>
  <c r="J9" i="12"/>
  <c r="I99" i="14"/>
  <c r="G212" i="38"/>
  <c r="I11" i="12"/>
  <c r="I87" i="14"/>
  <c r="G122" i="38"/>
  <c r="I10" i="12"/>
  <c r="I9"/>
  <c r="F9" i="10"/>
  <c r="F4"/>
  <c r="B193" i="16"/>
  <c r="B188"/>
  <c r="G51"/>
  <c r="H51"/>
  <c r="S51"/>
  <c r="I51"/>
  <c r="J51"/>
  <c r="K51"/>
  <c r="L51"/>
  <c r="M51"/>
  <c r="N51"/>
  <c r="O51"/>
  <c r="P51"/>
  <c r="Q51"/>
  <c r="R51"/>
  <c r="B19" i="35"/>
  <c r="B18"/>
  <c r="C6"/>
  <c r="C18" s="1"/>
  <c r="D6"/>
  <c r="E6"/>
  <c r="F6"/>
  <c r="N54" i="16"/>
  <c r="N53"/>
  <c r="O54"/>
  <c r="O53"/>
  <c r="P53"/>
  <c r="K37" i="14"/>
  <c r="K42"/>
  <c r="K48"/>
  <c r="K50"/>
  <c r="K46"/>
  <c r="K38"/>
  <c r="K43"/>
  <c r="K51"/>
  <c r="N32" i="16"/>
  <c r="N33"/>
  <c r="N34" s="1"/>
  <c r="L2" i="14"/>
  <c r="L37"/>
  <c r="J11" i="2"/>
  <c r="J24"/>
  <c r="J30"/>
  <c r="J47"/>
  <c r="J55"/>
  <c r="J59"/>
  <c r="J63"/>
  <c r="J67"/>
  <c r="J83"/>
  <c r="J100"/>
  <c r="J104"/>
  <c r="J106"/>
  <c r="I37" i="14"/>
  <c r="I42"/>
  <c r="I48"/>
  <c r="I46"/>
  <c r="I38"/>
  <c r="I43"/>
  <c r="I51"/>
  <c r="L32" i="16"/>
  <c r="L33"/>
  <c r="J37" i="14"/>
  <c r="J42"/>
  <c r="J48"/>
  <c r="J46"/>
  <c r="J50"/>
  <c r="J38"/>
  <c r="J43"/>
  <c r="J51"/>
  <c r="J52"/>
  <c r="M32" i="16"/>
  <c r="M33"/>
  <c r="F11" i="10"/>
  <c r="H50" i="26"/>
  <c r="H63"/>
  <c r="H62"/>
  <c r="H64"/>
  <c r="H59"/>
  <c r="H52"/>
  <c r="H66"/>
  <c r="H46"/>
  <c r="H42"/>
  <c r="H38"/>
  <c r="H34"/>
  <c r="H30"/>
  <c r="H53"/>
  <c r="H54"/>
  <c r="F23"/>
  <c r="G23"/>
  <c r="H23"/>
  <c r="H20"/>
  <c r="H21"/>
  <c r="H24"/>
  <c r="H16"/>
  <c r="H12"/>
  <c r="F182" i="38"/>
  <c r="F152"/>
  <c r="F92"/>
  <c r="F62"/>
  <c r="F32"/>
  <c r="F3"/>
  <c r="H9" i="12"/>
  <c r="G23" i="6"/>
  <c r="G22"/>
  <c r="M54" i="16"/>
  <c r="M53"/>
  <c r="G75" i="3"/>
  <c r="G72"/>
  <c r="G69"/>
  <c r="G38"/>
  <c r="G36"/>
  <c r="G37"/>
  <c r="G32"/>
  <c r="F11" i="2"/>
  <c r="F30"/>
  <c r="F47"/>
  <c r="F55"/>
  <c r="F59"/>
  <c r="F63"/>
  <c r="F67"/>
  <c r="F83"/>
  <c r="F100"/>
  <c r="F104"/>
  <c r="F106"/>
  <c r="G34" i="3"/>
  <c r="G31"/>
  <c r="G19"/>
  <c r="G16"/>
  <c r="D166" i="16"/>
  <c r="D167"/>
  <c r="D168"/>
  <c r="D169"/>
  <c r="D170"/>
  <c r="D171"/>
  <c r="D172"/>
  <c r="D173"/>
  <c r="D174"/>
  <c r="D175"/>
  <c r="D176"/>
  <c r="D177"/>
  <c r="B166"/>
  <c r="F23" i="6"/>
  <c r="F22"/>
  <c r="F22" i="28"/>
  <c r="E23" i="6"/>
  <c r="E22"/>
  <c r="G9" i="12"/>
  <c r="G2" i="14"/>
  <c r="G73"/>
  <c r="G77"/>
  <c r="E33" i="38"/>
  <c r="G85" i="14"/>
  <c r="G93"/>
  <c r="E182" i="38"/>
  <c r="E153"/>
  <c r="E152"/>
  <c r="E93"/>
  <c r="E92"/>
  <c r="E62"/>
  <c r="E32"/>
  <c r="E3"/>
  <c r="F34" i="3"/>
  <c r="F41"/>
  <c r="G50" i="26"/>
  <c r="G62"/>
  <c r="G59"/>
  <c r="G63"/>
  <c r="G64"/>
  <c r="G52"/>
  <c r="G66"/>
  <c r="G42"/>
  <c r="G46"/>
  <c r="G38"/>
  <c r="G34"/>
  <c r="G30"/>
  <c r="G53"/>
  <c r="G54"/>
  <c r="G20"/>
  <c r="G21"/>
  <c r="G24"/>
  <c r="G12"/>
  <c r="E16" i="2"/>
  <c r="D16"/>
  <c r="F75" i="3"/>
  <c r="F72"/>
  <c r="F69"/>
  <c r="F32"/>
  <c r="F30"/>
  <c r="F31"/>
  <c r="F38"/>
  <c r="F37"/>
  <c r="E30"/>
  <c r="E36"/>
  <c r="D75"/>
  <c r="D82"/>
  <c r="L54" i="16"/>
  <c r="L53"/>
  <c r="H2" i="14"/>
  <c r="H37"/>
  <c r="H42"/>
  <c r="H46"/>
  <c r="H38"/>
  <c r="K32" i="16"/>
  <c r="K33"/>
  <c r="K34" s="1"/>
  <c r="E11" i="2"/>
  <c r="E30"/>
  <c r="E47"/>
  <c r="E59"/>
  <c r="E63"/>
  <c r="E67"/>
  <c r="E83"/>
  <c r="E100"/>
  <c r="E104"/>
  <c r="E106"/>
  <c r="F19" i="3"/>
  <c r="F16"/>
  <c r="F3"/>
  <c r="L8" i="5"/>
  <c r="G6" i="35"/>
  <c r="G11"/>
  <c r="H6"/>
  <c r="H11"/>
  <c r="I6"/>
  <c r="I11"/>
  <c r="J6"/>
  <c r="J11"/>
  <c r="K6"/>
  <c r="AB51" i="16"/>
  <c r="AB32"/>
  <c r="AB33"/>
  <c r="AB85"/>
  <c r="K8" i="5"/>
  <c r="K7" i="28"/>
  <c r="K8" s="1"/>
  <c r="AC51" i="16"/>
  <c r="AC85"/>
  <c r="AD51"/>
  <c r="AD85"/>
  <c r="AE51"/>
  <c r="AE85"/>
  <c r="AF51"/>
  <c r="AF85"/>
  <c r="X51"/>
  <c r="Y51"/>
  <c r="Z51"/>
  <c r="AA51"/>
  <c r="AJ51"/>
  <c r="E37" i="37"/>
  <c r="B106" i="16"/>
  <c r="AJ52"/>
  <c r="D37" i="37"/>
  <c r="H44"/>
  <c r="J32" i="16"/>
  <c r="J33"/>
  <c r="J34" s="1"/>
  <c r="G37" i="14"/>
  <c r="G42"/>
  <c r="G48"/>
  <c r="G46"/>
  <c r="G50"/>
  <c r="G38"/>
  <c r="G43"/>
  <c r="G51"/>
  <c r="G52"/>
  <c r="F9" i="12"/>
  <c r="D182" i="38"/>
  <c r="D152"/>
  <c r="D92"/>
  <c r="D62"/>
  <c r="D32"/>
  <c r="D3"/>
  <c r="F2" i="14"/>
  <c r="F37"/>
  <c r="F63" i="26"/>
  <c r="F62"/>
  <c r="F66"/>
  <c r="F64"/>
  <c r="F59"/>
  <c r="F52"/>
  <c r="F46"/>
  <c r="F38"/>
  <c r="F34"/>
  <c r="F30"/>
  <c r="F53"/>
  <c r="F54"/>
  <c r="F20"/>
  <c r="F21"/>
  <c r="F24"/>
  <c r="F12"/>
  <c r="E75" i="3"/>
  <c r="E72"/>
  <c r="E69"/>
  <c r="E32"/>
  <c r="E38"/>
  <c r="E37"/>
  <c r="E31"/>
  <c r="E19"/>
  <c r="E16"/>
  <c r="E3"/>
  <c r="X82" i="12"/>
  <c r="Y82"/>
  <c r="Z82"/>
  <c r="AA82"/>
  <c r="AB82"/>
  <c r="AC82"/>
  <c r="W82"/>
  <c r="AD82"/>
  <c r="U82"/>
  <c r="V82"/>
  <c r="AE82"/>
  <c r="AF82"/>
  <c r="G26" i="10"/>
  <c r="H26"/>
  <c r="I26"/>
  <c r="J26"/>
  <c r="F26"/>
  <c r="K54" i="16"/>
  <c r="K53"/>
  <c r="K122"/>
  <c r="K123"/>
  <c r="H67" i="12"/>
  <c r="F11" i="22" s="1"/>
  <c r="M122" i="16"/>
  <c r="M123"/>
  <c r="J67" i="12"/>
  <c r="H11" i="22" s="1"/>
  <c r="L122" i="16"/>
  <c r="L123"/>
  <c r="I67" i="12"/>
  <c r="G11" i="22" s="1"/>
  <c r="AK82" i="12"/>
  <c r="AL82"/>
  <c r="AM82"/>
  <c r="AN82"/>
  <c r="AO82"/>
  <c r="AP82"/>
  <c r="AQ82"/>
  <c r="AR82"/>
  <c r="AS82"/>
  <c r="AT82"/>
  <c r="AU82"/>
  <c r="AV82"/>
  <c r="I8"/>
  <c r="I78" s="1"/>
  <c r="N122" i="16"/>
  <c r="N123"/>
  <c r="K67" i="12"/>
  <c r="I11" i="22" s="1"/>
  <c r="K82" i="12"/>
  <c r="K83"/>
  <c r="O122" i="16"/>
  <c r="O123"/>
  <c r="L67" i="12"/>
  <c r="J11" i="22" s="1"/>
  <c r="L8" i="12"/>
  <c r="L78" s="1"/>
  <c r="L82"/>
  <c r="L83"/>
  <c r="P122" i="16"/>
  <c r="P123"/>
  <c r="M67" i="12"/>
  <c r="K11" i="22" s="1"/>
  <c r="M82" i="12"/>
  <c r="M83"/>
  <c r="Q122" i="16"/>
  <c r="Q123"/>
  <c r="N67" i="12"/>
  <c r="L11" i="22" s="1"/>
  <c r="N82" i="12"/>
  <c r="N83"/>
  <c r="O82"/>
  <c r="F63"/>
  <c r="F65" s="1"/>
  <c r="F64"/>
  <c r="D11" i="2"/>
  <c r="D30"/>
  <c r="D47"/>
  <c r="D59"/>
  <c r="D63"/>
  <c r="D83"/>
  <c r="D100"/>
  <c r="D104"/>
  <c r="D106"/>
  <c r="I32" i="16"/>
  <c r="I33"/>
  <c r="I34" s="1"/>
  <c r="D9" i="12"/>
  <c r="D63"/>
  <c r="D64"/>
  <c r="E9"/>
  <c r="E63"/>
  <c r="E64"/>
  <c r="E65" s="1"/>
  <c r="G63"/>
  <c r="G64"/>
  <c r="S6" i="35"/>
  <c r="T6"/>
  <c r="U6"/>
  <c r="V6"/>
  <c r="W6"/>
  <c r="AS32" i="16"/>
  <c r="AS33"/>
  <c r="AK56" i="12"/>
  <c r="AL56"/>
  <c r="AM56"/>
  <c r="AN56"/>
  <c r="AO56"/>
  <c r="AP56"/>
  <c r="AQ56"/>
  <c r="AR56"/>
  <c r="AS56"/>
  <c r="AT56"/>
  <c r="AU56"/>
  <c r="AV56"/>
  <c r="U56"/>
  <c r="V56"/>
  <c r="W56"/>
  <c r="X56"/>
  <c r="Y56"/>
  <c r="Z56"/>
  <c r="AA56"/>
  <c r="AB56"/>
  <c r="AC56"/>
  <c r="AD56"/>
  <c r="AE56"/>
  <c r="AF56"/>
  <c r="A3" i="23"/>
  <c r="H14" i="37"/>
  <c r="K59" i="16"/>
  <c r="K85"/>
  <c r="L59"/>
  <c r="L85"/>
  <c r="M59"/>
  <c r="M85"/>
  <c r="N59"/>
  <c r="N85"/>
  <c r="O59"/>
  <c r="O85"/>
  <c r="K61"/>
  <c r="L61"/>
  <c r="M61"/>
  <c r="N61"/>
  <c r="O61"/>
  <c r="C182" i="38"/>
  <c r="C152"/>
  <c r="C92"/>
  <c r="C62"/>
  <c r="C32"/>
  <c r="C3"/>
  <c r="F22" i="10"/>
  <c r="G22"/>
  <c r="H22"/>
  <c r="I22"/>
  <c r="J22"/>
  <c r="G31"/>
  <c r="H31"/>
  <c r="I31"/>
  <c r="J31"/>
  <c r="F31"/>
  <c r="H82" i="12"/>
  <c r="H83"/>
  <c r="I82"/>
  <c r="I83"/>
  <c r="J82"/>
  <c r="J83"/>
  <c r="M65"/>
  <c r="N65"/>
  <c r="O65"/>
  <c r="D56"/>
  <c r="E56"/>
  <c r="F56"/>
  <c r="G56"/>
  <c r="H56"/>
  <c r="I56"/>
  <c r="J56"/>
  <c r="K56"/>
  <c r="L56"/>
  <c r="M56"/>
  <c r="N56"/>
  <c r="O56"/>
  <c r="D22" i="28"/>
  <c r="D23" i="6"/>
  <c r="D23" i="28"/>
  <c r="D22" i="6"/>
  <c r="H32" i="16"/>
  <c r="H33"/>
  <c r="H34"/>
  <c r="G32"/>
  <c r="G33"/>
  <c r="G34" s="1"/>
  <c r="L67"/>
  <c r="M67"/>
  <c r="M69"/>
  <c r="N67"/>
  <c r="O67"/>
  <c r="O69"/>
  <c r="K67"/>
  <c r="J54"/>
  <c r="J53"/>
  <c r="K69"/>
  <c r="L69"/>
  <c r="N69"/>
  <c r="E23" i="26"/>
  <c r="E66"/>
  <c r="E62"/>
  <c r="E59"/>
  <c r="E63"/>
  <c r="E64"/>
  <c r="E52"/>
  <c r="E53"/>
  <c r="E54"/>
  <c r="E46"/>
  <c r="E38"/>
  <c r="E34"/>
  <c r="E30"/>
  <c r="E20"/>
  <c r="E21"/>
  <c r="E24"/>
  <c r="E12"/>
  <c r="D69" i="3"/>
  <c r="D83"/>
  <c r="D72"/>
  <c r="D32"/>
  <c r="D30"/>
  <c r="D57"/>
  <c r="D85"/>
  <c r="D38"/>
  <c r="D37"/>
  <c r="D31"/>
  <c r="D19"/>
  <c r="D16"/>
  <c r="D3"/>
  <c r="C11" i="2"/>
  <c r="C30"/>
  <c r="C47"/>
  <c r="C59"/>
  <c r="C63"/>
  <c r="C83"/>
  <c r="C100"/>
  <c r="C104"/>
  <c r="C106"/>
  <c r="I54" i="16"/>
  <c r="I53"/>
  <c r="H54"/>
  <c r="H53"/>
  <c r="G54"/>
  <c r="G53"/>
  <c r="B182" i="38"/>
  <c r="B152"/>
  <c r="B92"/>
  <c r="B62"/>
  <c r="B32"/>
  <c r="B3"/>
  <c r="C23" i="6"/>
  <c r="C22"/>
  <c r="C32" i="3"/>
  <c r="C30"/>
  <c r="D19" i="26"/>
  <c r="D20"/>
  <c r="D21"/>
  <c r="D24"/>
  <c r="D30"/>
  <c r="D34"/>
  <c r="D38"/>
  <c r="D42"/>
  <c r="D46"/>
  <c r="D50"/>
  <c r="D53"/>
  <c r="D59"/>
  <c r="D63"/>
  <c r="D23"/>
  <c r="D52"/>
  <c r="D62"/>
  <c r="D54"/>
  <c r="D12"/>
  <c r="C75" i="3"/>
  <c r="C72"/>
  <c r="C69"/>
  <c r="C38"/>
  <c r="C37"/>
  <c r="C31"/>
  <c r="C19"/>
  <c r="C16"/>
  <c r="C92"/>
  <c r="C110"/>
  <c r="C3"/>
  <c r="B23" i="28"/>
  <c r="B22"/>
  <c r="E25" i="23"/>
  <c r="E24"/>
  <c r="E23"/>
  <c r="D25"/>
  <c r="D24"/>
  <c r="D23"/>
  <c r="C25"/>
  <c r="C24"/>
  <c r="C23"/>
  <c r="E19"/>
  <c r="E18"/>
  <c r="E17"/>
  <c r="D19"/>
  <c r="D18"/>
  <c r="D17"/>
  <c r="C19"/>
  <c r="C18"/>
  <c r="C17"/>
  <c r="E13"/>
  <c r="E12"/>
  <c r="E11"/>
  <c r="D13"/>
  <c r="D12"/>
  <c r="D11"/>
  <c r="C13"/>
  <c r="C12"/>
  <c r="C11"/>
  <c r="G82" i="12"/>
  <c r="G83"/>
  <c r="F82"/>
  <c r="F83"/>
  <c r="E82"/>
  <c r="E83"/>
  <c r="D82"/>
  <c r="D83"/>
  <c r="C21" i="4"/>
  <c r="D21"/>
  <c r="E21"/>
  <c r="F21"/>
  <c r="C18" i="5"/>
  <c r="D18"/>
  <c r="E18"/>
  <c r="F18"/>
  <c r="G18"/>
  <c r="H18"/>
  <c r="I18"/>
  <c r="J18"/>
  <c r="C18" i="6"/>
  <c r="D18"/>
  <c r="E18"/>
  <c r="F18"/>
  <c r="G18"/>
  <c r="H18"/>
  <c r="I18"/>
  <c r="J18"/>
  <c r="C18" i="28"/>
  <c r="C31"/>
  <c r="J122" i="16"/>
  <c r="J123"/>
  <c r="G67" i="12"/>
  <c r="E11" i="22" s="1"/>
  <c r="I122" i="16"/>
  <c r="I123"/>
  <c r="F67" i="12"/>
  <c r="D11" i="22" s="1"/>
  <c r="H122" i="16"/>
  <c r="H123"/>
  <c r="E67" i="12"/>
  <c r="C11" i="22" s="1"/>
  <c r="B11" i="2"/>
  <c r="B30"/>
  <c r="B36" s="1"/>
  <c r="B47"/>
  <c r="B59"/>
  <c r="B63"/>
  <c r="B83"/>
  <c r="B104"/>
  <c r="B100"/>
  <c r="B106" s="1"/>
  <c r="P59" i="12"/>
  <c r="D11" i="37"/>
  <c r="L5" i="28"/>
  <c r="L18" s="1"/>
  <c r="D5"/>
  <c r="E5"/>
  <c r="F5"/>
  <c r="C5"/>
  <c r="C5" i="5"/>
  <c r="D5"/>
  <c r="E5"/>
  <c r="F5"/>
  <c r="AT18" i="16"/>
  <c r="AU18"/>
  <c r="AV18"/>
  <c r="AW18"/>
  <c r="AS18"/>
  <c r="AC18"/>
  <c r="AD18"/>
  <c r="AE18"/>
  <c r="AF18"/>
  <c r="AB18"/>
  <c r="L18"/>
  <c r="M18"/>
  <c r="N18"/>
  <c r="O18"/>
  <c r="K18"/>
  <c r="AP12"/>
  <c r="AR12"/>
  <c r="AE43"/>
  <c r="AP43"/>
  <c r="AQ43"/>
  <c r="AQ12"/>
  <c r="AR43"/>
  <c r="AS43"/>
  <c r="AT43"/>
  <c r="AU43"/>
  <c r="AV43"/>
  <c r="AW43"/>
  <c r="AX43"/>
  <c r="AY43"/>
  <c r="AZ43"/>
  <c r="AO43"/>
  <c r="AO12"/>
  <c r="AM46"/>
  <c r="M5" i="2"/>
  <c r="M7" s="1"/>
  <c r="M11"/>
  <c r="M24"/>
  <c r="M30"/>
  <c r="M32"/>
  <c r="M34" s="1"/>
  <c r="M47"/>
  <c r="M59"/>
  <c r="M63"/>
  <c r="M73"/>
  <c r="M75" s="1"/>
  <c r="M77"/>
  <c r="M79" s="1"/>
  <c r="M65"/>
  <c r="M67" s="1"/>
  <c r="M83"/>
  <c r="M85"/>
  <c r="M87" s="1"/>
  <c r="M100"/>
  <c r="M104"/>
  <c r="M106"/>
  <c r="L5"/>
  <c r="L7"/>
  <c r="L11"/>
  <c r="L24"/>
  <c r="L30"/>
  <c r="L32"/>
  <c r="L34" s="1"/>
  <c r="L59"/>
  <c r="L63"/>
  <c r="L73"/>
  <c r="L75"/>
  <c r="L77"/>
  <c r="L79"/>
  <c r="L65"/>
  <c r="L67" s="1"/>
  <c r="L83"/>
  <c r="L85"/>
  <c r="L87" s="1"/>
  <c r="L100"/>
  <c r="L104"/>
  <c r="L106"/>
  <c r="K5"/>
  <c r="K7"/>
  <c r="K26" s="1"/>
  <c r="K11"/>
  <c r="K24"/>
  <c r="K30"/>
  <c r="K32"/>
  <c r="K34"/>
  <c r="K47"/>
  <c r="K59"/>
  <c r="K63"/>
  <c r="K73"/>
  <c r="K75" s="1"/>
  <c r="K77"/>
  <c r="K79" s="1"/>
  <c r="K65"/>
  <c r="K67" s="1"/>
  <c r="K83"/>
  <c r="K85"/>
  <c r="K87"/>
  <c r="K100"/>
  <c r="K104"/>
  <c r="K106" s="1"/>
  <c r="J5"/>
  <c r="J7" s="1"/>
  <c r="J32"/>
  <c r="J34"/>
  <c r="J36" s="1"/>
  <c r="J73"/>
  <c r="J75" s="1"/>
  <c r="J77"/>
  <c r="J79" s="1"/>
  <c r="J85"/>
  <c r="J87"/>
  <c r="J93" s="1"/>
  <c r="I5"/>
  <c r="I7" s="1"/>
  <c r="I32"/>
  <c r="I34" s="1"/>
  <c r="I73"/>
  <c r="I75"/>
  <c r="I77"/>
  <c r="I79"/>
  <c r="I85"/>
  <c r="I87"/>
  <c r="H5"/>
  <c r="H7"/>
  <c r="H26" s="1"/>
  <c r="H32"/>
  <c r="H34" s="1"/>
  <c r="H73"/>
  <c r="H75"/>
  <c r="H77"/>
  <c r="H79"/>
  <c r="H85"/>
  <c r="H87" s="1"/>
  <c r="H93" s="1"/>
  <c r="G5"/>
  <c r="G7"/>
  <c r="G26" s="1"/>
  <c r="G32"/>
  <c r="G34"/>
  <c r="G36" s="1"/>
  <c r="G73"/>
  <c r="G75" s="1"/>
  <c r="G77"/>
  <c r="G79"/>
  <c r="G85"/>
  <c r="G87"/>
  <c r="G93" s="1"/>
  <c r="F5"/>
  <c r="F7" s="1"/>
  <c r="F19"/>
  <c r="F32"/>
  <c r="F34"/>
  <c r="F36" s="1"/>
  <c r="F73"/>
  <c r="F75" s="1"/>
  <c r="F77"/>
  <c r="F79" s="1"/>
  <c r="F85"/>
  <c r="F87" s="1"/>
  <c r="E5"/>
  <c r="E7"/>
  <c r="E19"/>
  <c r="E24"/>
  <c r="E32"/>
  <c r="E34"/>
  <c r="E36" s="1"/>
  <c r="E73"/>
  <c r="E75" s="1"/>
  <c r="E77"/>
  <c r="E79" s="1"/>
  <c r="E85"/>
  <c r="E87" s="1"/>
  <c r="E111" s="1"/>
  <c r="D5"/>
  <c r="D7" s="1"/>
  <c r="D19"/>
  <c r="D32"/>
  <c r="D34"/>
  <c r="D36" s="1"/>
  <c r="D73"/>
  <c r="D75" s="1"/>
  <c r="D77"/>
  <c r="D79"/>
  <c r="D65"/>
  <c r="D67"/>
  <c r="D85"/>
  <c r="D87"/>
  <c r="C5"/>
  <c r="C7"/>
  <c r="C19"/>
  <c r="C24" s="1"/>
  <c r="C115" s="1"/>
  <c r="C32"/>
  <c r="C34" s="1"/>
  <c r="C73"/>
  <c r="C75"/>
  <c r="C77"/>
  <c r="C79"/>
  <c r="C65"/>
  <c r="C67" s="1"/>
  <c r="C70" s="1"/>
  <c r="C85"/>
  <c r="C87" s="1"/>
  <c r="B5"/>
  <c r="B7" s="1"/>
  <c r="B113" s="1"/>
  <c r="B19"/>
  <c r="B21"/>
  <c r="B32"/>
  <c r="B34"/>
  <c r="B73"/>
  <c r="B75"/>
  <c r="B77"/>
  <c r="B79"/>
  <c r="B65"/>
  <c r="B67"/>
  <c r="B85"/>
  <c r="B87" s="1"/>
  <c r="I89"/>
  <c r="J70"/>
  <c r="I70"/>
  <c r="H70"/>
  <c r="G70"/>
  <c r="F70"/>
  <c r="E70"/>
  <c r="M44"/>
  <c r="L44"/>
  <c r="K44"/>
  <c r="J44"/>
  <c r="I44"/>
  <c r="H44"/>
  <c r="G44"/>
  <c r="F44"/>
  <c r="E44"/>
  <c r="D44"/>
  <c r="C44"/>
  <c r="B44"/>
  <c r="M39"/>
  <c r="L39"/>
  <c r="K39"/>
  <c r="J39"/>
  <c r="I39"/>
  <c r="H39"/>
  <c r="G39"/>
  <c r="F39"/>
  <c r="E39"/>
  <c r="D39"/>
  <c r="C39"/>
  <c r="B39"/>
  <c r="M21"/>
  <c r="L21"/>
  <c r="K21"/>
  <c r="J21"/>
  <c r="I21"/>
  <c r="H21"/>
  <c r="G21"/>
  <c r="E21"/>
  <c r="C21"/>
  <c r="M16"/>
  <c r="L16"/>
  <c r="K16"/>
  <c r="J16"/>
  <c r="I16"/>
  <c r="H16"/>
  <c r="G16"/>
  <c r="F16"/>
  <c r="C16"/>
  <c r="B16"/>
  <c r="A63" i="14"/>
  <c r="A25"/>
  <c r="A39"/>
  <c r="Q37"/>
  <c r="B39"/>
  <c r="R37"/>
  <c r="T37"/>
  <c r="A44"/>
  <c r="Q42"/>
  <c r="B44"/>
  <c r="R42"/>
  <c r="Q46"/>
  <c r="U46"/>
  <c r="V9" i="12"/>
  <c r="R46" i="14"/>
  <c r="T46"/>
  <c r="U9" i="12"/>
  <c r="U83"/>
  <c r="Q48" i="14"/>
  <c r="R48"/>
  <c r="T48"/>
  <c r="T38"/>
  <c r="T43"/>
  <c r="T51"/>
  <c r="U42"/>
  <c r="U48"/>
  <c r="U38"/>
  <c r="U43"/>
  <c r="U51"/>
  <c r="AE37"/>
  <c r="AE42"/>
  <c r="AE46"/>
  <c r="AF9" i="12"/>
  <c r="AE48" i="14"/>
  <c r="AE50"/>
  <c r="AE38"/>
  <c r="AE43"/>
  <c r="AE51"/>
  <c r="AE52"/>
  <c r="D37"/>
  <c r="D42"/>
  <c r="D50"/>
  <c r="D52"/>
  <c r="D46"/>
  <c r="D48"/>
  <c r="D38"/>
  <c r="D43"/>
  <c r="D51"/>
  <c r="G47" i="16"/>
  <c r="G59"/>
  <c r="E37" i="14"/>
  <c r="E42"/>
  <c r="E50"/>
  <c r="E52"/>
  <c r="E46"/>
  <c r="E48"/>
  <c r="E38"/>
  <c r="E43"/>
  <c r="E51"/>
  <c r="H47" i="16"/>
  <c r="H85"/>
  <c r="H59"/>
  <c r="I47"/>
  <c r="I59"/>
  <c r="J59"/>
  <c r="J85"/>
  <c r="M43"/>
  <c r="M11"/>
  <c r="P59"/>
  <c r="P85"/>
  <c r="M5" i="5"/>
  <c r="M5" i="28"/>
  <c r="Q85" i="16"/>
  <c r="O37" i="14"/>
  <c r="O42"/>
  <c r="O50"/>
  <c r="O52"/>
  <c r="O46"/>
  <c r="O83" i="12"/>
  <c r="O48" i="14"/>
  <c r="O38"/>
  <c r="O43"/>
  <c r="O51"/>
  <c r="N5" i="5"/>
  <c r="N5" i="28"/>
  <c r="R85" i="16"/>
  <c r="O110"/>
  <c r="O112"/>
  <c r="C58" i="3"/>
  <c r="C83"/>
  <c r="C86"/>
  <c r="C87"/>
  <c r="C57"/>
  <c r="C82"/>
  <c r="C85"/>
  <c r="D58"/>
  <c r="D86"/>
  <c r="D87"/>
  <c r="D9" i="4"/>
  <c r="D10" s="1"/>
  <c r="E58" i="3"/>
  <c r="E83"/>
  <c r="E86"/>
  <c r="E87"/>
  <c r="E57"/>
  <c r="E82"/>
  <c r="E85"/>
  <c r="N110" i="16"/>
  <c r="N112"/>
  <c r="M110"/>
  <c r="M112"/>
  <c r="L110"/>
  <c r="L112"/>
  <c r="K110"/>
  <c r="K112"/>
  <c r="G49"/>
  <c r="G105"/>
  <c r="G61"/>
  <c r="H49"/>
  <c r="H105"/>
  <c r="H61"/>
  <c r="I49"/>
  <c r="I61"/>
  <c r="J61"/>
  <c r="P61"/>
  <c r="P105"/>
  <c r="Q61"/>
  <c r="G122"/>
  <c r="G123"/>
  <c r="D67" i="12"/>
  <c r="B11" i="22" s="1"/>
  <c r="H50" i="23"/>
  <c r="L22" i="28"/>
  <c r="C21" i="3"/>
  <c r="C20"/>
  <c r="C22"/>
  <c r="C7" i="5"/>
  <c r="D21" i="3"/>
  <c r="D20"/>
  <c r="D22"/>
  <c r="D7" i="5"/>
  <c r="E21" i="3"/>
  <c r="E20"/>
  <c r="E22"/>
  <c r="E7" i="5"/>
  <c r="F21" i="3"/>
  <c r="F20"/>
  <c r="F22"/>
  <c r="F7" i="5"/>
  <c r="G21" i="3"/>
  <c r="G20"/>
  <c r="G22"/>
  <c r="G7" i="5"/>
  <c r="H21" i="3"/>
  <c r="H20"/>
  <c r="H22"/>
  <c r="H7" i="5"/>
  <c r="I21" i="3"/>
  <c r="I20"/>
  <c r="I22"/>
  <c r="I7" i="5"/>
  <c r="J21" i="3"/>
  <c r="J20"/>
  <c r="J22"/>
  <c r="J7" i="5"/>
  <c r="L21" i="3"/>
  <c r="L20"/>
  <c r="L23" i="28"/>
  <c r="L23" i="35" s="1"/>
  <c r="L30"/>
  <c r="K21" i="3"/>
  <c r="K20"/>
  <c r="K22"/>
  <c r="L24" i="6"/>
  <c r="F58" i="3"/>
  <c r="F83"/>
  <c r="F86"/>
  <c r="F87"/>
  <c r="F57"/>
  <c r="F82"/>
  <c r="F85"/>
  <c r="G58"/>
  <c r="G83"/>
  <c r="G86"/>
  <c r="G57"/>
  <c r="G82"/>
  <c r="G85"/>
  <c r="G87"/>
  <c r="H58"/>
  <c r="H83"/>
  <c r="H86"/>
  <c r="H87"/>
  <c r="H57"/>
  <c r="H82"/>
  <c r="H85"/>
  <c r="I58"/>
  <c r="I83"/>
  <c r="I86"/>
  <c r="I57"/>
  <c r="I82"/>
  <c r="I85"/>
  <c r="I87"/>
  <c r="J58"/>
  <c r="J83"/>
  <c r="J86"/>
  <c r="J87"/>
  <c r="J57"/>
  <c r="J82"/>
  <c r="J85"/>
  <c r="K58"/>
  <c r="K83"/>
  <c r="K86"/>
  <c r="K57"/>
  <c r="K82"/>
  <c r="K85"/>
  <c r="L58"/>
  <c r="L83"/>
  <c r="L86" s="1"/>
  <c r="L57"/>
  <c r="L82"/>
  <c r="L85" s="1"/>
  <c r="L27" i="4"/>
  <c r="L125" i="3"/>
  <c r="L126"/>
  <c r="L91"/>
  <c r="L95"/>
  <c r="L99"/>
  <c r="L92"/>
  <c r="L96"/>
  <c r="L110"/>
  <c r="L102"/>
  <c r="L23"/>
  <c r="L100"/>
  <c r="L97"/>
  <c r="L24"/>
  <c r="D29" i="14"/>
  <c r="E29"/>
  <c r="F29"/>
  <c r="G29"/>
  <c r="H29"/>
  <c r="I29"/>
  <c r="J29"/>
  <c r="K29"/>
  <c r="L29"/>
  <c r="M29"/>
  <c r="N29" s="1"/>
  <c r="X85" i="16"/>
  <c r="Y85"/>
  <c r="Z85"/>
  <c r="AA85"/>
  <c r="AJ59"/>
  <c r="M77" i="14"/>
  <c r="M81"/>
  <c r="M85"/>
  <c r="M93"/>
  <c r="M97"/>
  <c r="O5" i="5"/>
  <c r="O6"/>
  <c r="O5" i="28"/>
  <c r="O6" s="1"/>
  <c r="P5" i="5"/>
  <c r="P6"/>
  <c r="P5" i="28"/>
  <c r="P6" s="1"/>
  <c r="Q5" i="5"/>
  <c r="Q6"/>
  <c r="Q5" i="28"/>
  <c r="Q6" s="1"/>
  <c r="R5" i="5"/>
  <c r="R6"/>
  <c r="R5" i="28"/>
  <c r="R6" s="1"/>
  <c r="AD43" i="16"/>
  <c r="AF43"/>
  <c r="X5" i="5"/>
  <c r="X6"/>
  <c r="Z5"/>
  <c r="Z6"/>
  <c r="Y5"/>
  <c r="Y6"/>
  <c r="R61" i="16"/>
  <c r="S61"/>
  <c r="S47"/>
  <c r="S49"/>
  <c r="S50"/>
  <c r="K27" i="4"/>
  <c r="M99" i="14"/>
  <c r="K60" i="3"/>
  <c r="K65"/>
  <c r="K61"/>
  <c r="K62"/>
  <c r="K63"/>
  <c r="F125"/>
  <c r="F128"/>
  <c r="F126"/>
  <c r="F127"/>
  <c r="G126"/>
  <c r="G128"/>
  <c r="G125"/>
  <c r="G127"/>
  <c r="H126"/>
  <c r="H128"/>
  <c r="H125"/>
  <c r="H127"/>
  <c r="I126"/>
  <c r="I128"/>
  <c r="I125"/>
  <c r="I127"/>
  <c r="J126"/>
  <c r="J128"/>
  <c r="J125"/>
  <c r="J127"/>
  <c r="K126"/>
  <c r="K128" s="1"/>
  <c r="K125"/>
  <c r="K127"/>
  <c r="K109"/>
  <c r="K95"/>
  <c r="K99"/>
  <c r="K92"/>
  <c r="K110" s="1"/>
  <c r="K96"/>
  <c r="K104"/>
  <c r="K105"/>
  <c r="K23"/>
  <c r="K100"/>
  <c r="K101"/>
  <c r="K97"/>
  <c r="K84"/>
  <c r="K59"/>
  <c r="K24"/>
  <c r="T5" i="2"/>
  <c r="U5"/>
  <c r="U7" s="1"/>
  <c r="V5"/>
  <c r="W5"/>
  <c r="W7"/>
  <c r="X5"/>
  <c r="Y5"/>
  <c r="Y7" s="1"/>
  <c r="Z5"/>
  <c r="AA5"/>
  <c r="AA7"/>
  <c r="AB5"/>
  <c r="AC5"/>
  <c r="AC7" s="1"/>
  <c r="AD5"/>
  <c r="AE5"/>
  <c r="AE7"/>
  <c r="AL5"/>
  <c r="AM5"/>
  <c r="AN5"/>
  <c r="AO5"/>
  <c r="AO7" s="1"/>
  <c r="AO113" s="1"/>
  <c r="AP5"/>
  <c r="AQ5"/>
  <c r="AQ7" s="1"/>
  <c r="AR5"/>
  <c r="AS5"/>
  <c r="AS7" s="1"/>
  <c r="AT5"/>
  <c r="AU5"/>
  <c r="AU7" s="1"/>
  <c r="AV5"/>
  <c r="AW5"/>
  <c r="AW7" s="1"/>
  <c r="T7"/>
  <c r="V7"/>
  <c r="X7"/>
  <c r="Z7"/>
  <c r="AB7"/>
  <c r="AD7"/>
  <c r="AL7"/>
  <c r="AM7"/>
  <c r="AX7" s="1"/>
  <c r="AN7"/>
  <c r="AP7"/>
  <c r="AR7"/>
  <c r="AT7"/>
  <c r="AV7"/>
  <c r="N11"/>
  <c r="T11"/>
  <c r="U11"/>
  <c r="AF11" s="1"/>
  <c r="V11"/>
  <c r="W11"/>
  <c r="X11"/>
  <c r="Y11"/>
  <c r="Z11"/>
  <c r="AA11"/>
  <c r="AB11"/>
  <c r="AC11"/>
  <c r="AD11"/>
  <c r="AE11"/>
  <c r="AL11"/>
  <c r="AL26" s="1"/>
  <c r="AM11"/>
  <c r="AN11"/>
  <c r="AN26" s="1"/>
  <c r="AO11"/>
  <c r="AP11"/>
  <c r="AQ11"/>
  <c r="AR11"/>
  <c r="AS11"/>
  <c r="AT11"/>
  <c r="AU11"/>
  <c r="AV11"/>
  <c r="AW11"/>
  <c r="AX11"/>
  <c r="T16"/>
  <c r="U16"/>
  <c r="V16"/>
  <c r="W16"/>
  <c r="X16"/>
  <c r="Y16"/>
  <c r="Z16"/>
  <c r="AA16"/>
  <c r="AB16"/>
  <c r="AC16"/>
  <c r="AD16"/>
  <c r="AE16"/>
  <c r="AL16"/>
  <c r="AM16"/>
  <c r="AN16"/>
  <c r="AO16"/>
  <c r="AP16"/>
  <c r="AQ16"/>
  <c r="AR16"/>
  <c r="AS16"/>
  <c r="AT16"/>
  <c r="AU16"/>
  <c r="AV16"/>
  <c r="AW16"/>
  <c r="N17"/>
  <c r="AF17"/>
  <c r="AX17"/>
  <c r="T19"/>
  <c r="T21" s="1"/>
  <c r="AF21" s="1"/>
  <c r="U19"/>
  <c r="U21" s="1"/>
  <c r="V19"/>
  <c r="V21"/>
  <c r="W19"/>
  <c r="X19"/>
  <c r="X21" s="1"/>
  <c r="AL19"/>
  <c r="AM19"/>
  <c r="AM21"/>
  <c r="AN19"/>
  <c r="AO19"/>
  <c r="AO21" s="1"/>
  <c r="AX21" s="1"/>
  <c r="AP19"/>
  <c r="AP24" s="1"/>
  <c r="W21"/>
  <c r="Y21"/>
  <c r="Z21"/>
  <c r="AA21"/>
  <c r="AB21"/>
  <c r="AC21"/>
  <c r="AD21"/>
  <c r="AE21"/>
  <c r="AL21"/>
  <c r="AN21"/>
  <c r="AP21"/>
  <c r="AQ21"/>
  <c r="AR21"/>
  <c r="AS21"/>
  <c r="AT21"/>
  <c r="AU21"/>
  <c r="AV21"/>
  <c r="AW21"/>
  <c r="AF22"/>
  <c r="AX22"/>
  <c r="W24"/>
  <c r="Y24"/>
  <c r="Z24"/>
  <c r="AA24"/>
  <c r="AB24"/>
  <c r="AB26" s="1"/>
  <c r="AC24"/>
  <c r="AD24"/>
  <c r="AE24"/>
  <c r="AL24"/>
  <c r="AN24"/>
  <c r="AQ24"/>
  <c r="AR24"/>
  <c r="AR26"/>
  <c r="AS24"/>
  <c r="AT24"/>
  <c r="AT26"/>
  <c r="AU24"/>
  <c r="AV24"/>
  <c r="AV26"/>
  <c r="AW24"/>
  <c r="P26"/>
  <c r="Z26"/>
  <c r="AD26"/>
  <c r="AH26"/>
  <c r="AZ26"/>
  <c r="N30"/>
  <c r="T30"/>
  <c r="U30"/>
  <c r="V30"/>
  <c r="W30"/>
  <c r="X30"/>
  <c r="Y30"/>
  <c r="Z30"/>
  <c r="AA30"/>
  <c r="AB30"/>
  <c r="AC30"/>
  <c r="AD30"/>
  <c r="AE30"/>
  <c r="AL30"/>
  <c r="AM30"/>
  <c r="AN30"/>
  <c r="AO30"/>
  <c r="AO36" s="1"/>
  <c r="AP30"/>
  <c r="AQ30"/>
  <c r="AR30"/>
  <c r="AS30"/>
  <c r="AT30"/>
  <c r="AU30"/>
  <c r="AV30"/>
  <c r="AW30"/>
  <c r="T32"/>
  <c r="U32"/>
  <c r="U34"/>
  <c r="V32"/>
  <c r="W32"/>
  <c r="W34" s="1"/>
  <c r="X32"/>
  <c r="Y32"/>
  <c r="Y34" s="1"/>
  <c r="Y111" s="1"/>
  <c r="Z32"/>
  <c r="AA32"/>
  <c r="AA34" s="1"/>
  <c r="AA111" s="1"/>
  <c r="AB32"/>
  <c r="AC32"/>
  <c r="AC34" s="1"/>
  <c r="AD32"/>
  <c r="AD34" s="1"/>
  <c r="AE32"/>
  <c r="AE34"/>
  <c r="AL32"/>
  <c r="AM32"/>
  <c r="AM34" s="1"/>
  <c r="AN32"/>
  <c r="AO32"/>
  <c r="AP32"/>
  <c r="AQ32"/>
  <c r="AQ34" s="1"/>
  <c r="AR32"/>
  <c r="AS32"/>
  <c r="AS34" s="1"/>
  <c r="AT32"/>
  <c r="AU32"/>
  <c r="AU34" s="1"/>
  <c r="AV32"/>
  <c r="AW32"/>
  <c r="AW34" s="1"/>
  <c r="T34"/>
  <c r="V34"/>
  <c r="X34"/>
  <c r="Z34"/>
  <c r="AB34"/>
  <c r="AL34"/>
  <c r="AN34"/>
  <c r="AO34"/>
  <c r="AP34"/>
  <c r="AR34"/>
  <c r="AR36" s="1"/>
  <c r="AT34"/>
  <c r="AV34"/>
  <c r="AV36" s="1"/>
  <c r="T36"/>
  <c r="V36"/>
  <c r="X36"/>
  <c r="Z36"/>
  <c r="AB36"/>
  <c r="AL36"/>
  <c r="AN36"/>
  <c r="AP36"/>
  <c r="AT36"/>
  <c r="T39"/>
  <c r="U39"/>
  <c r="V39"/>
  <c r="W39"/>
  <c r="X39"/>
  <c r="Y39"/>
  <c r="Z39"/>
  <c r="AA39"/>
  <c r="AB39"/>
  <c r="AC39"/>
  <c r="AD39"/>
  <c r="AE39"/>
  <c r="AL39"/>
  <c r="AM39"/>
  <c r="AN39"/>
  <c r="AO39"/>
  <c r="AP39"/>
  <c r="AQ39"/>
  <c r="AR39"/>
  <c r="AS39"/>
  <c r="AT39"/>
  <c r="AU39"/>
  <c r="AV39"/>
  <c r="AW39"/>
  <c r="N40"/>
  <c r="AF40"/>
  <c r="AX40"/>
  <c r="T44"/>
  <c r="U44"/>
  <c r="V44"/>
  <c r="W44"/>
  <c r="X44"/>
  <c r="Y44"/>
  <c r="Z44"/>
  <c r="AA44"/>
  <c r="AB44"/>
  <c r="AC44"/>
  <c r="AD44"/>
  <c r="AE44"/>
  <c r="AL44"/>
  <c r="AM44"/>
  <c r="AN44"/>
  <c r="AO44"/>
  <c r="AP44"/>
  <c r="AQ44"/>
  <c r="AR44"/>
  <c r="AS44"/>
  <c r="AT44"/>
  <c r="AU44"/>
  <c r="AV44"/>
  <c r="AW44"/>
  <c r="N45"/>
  <c r="AF45"/>
  <c r="AX45"/>
  <c r="N47"/>
  <c r="O47" s="1"/>
  <c r="Q47" s="1"/>
  <c r="R47" s="1"/>
  <c r="P47"/>
  <c r="P49"/>
  <c r="P108" s="1"/>
  <c r="T47"/>
  <c r="U47"/>
  <c r="V47"/>
  <c r="AF47" s="1"/>
  <c r="AG47" s="1"/>
  <c r="AI47" s="1"/>
  <c r="AJ47" s="1"/>
  <c r="W47"/>
  <c r="X47"/>
  <c r="Y47"/>
  <c r="Z47"/>
  <c r="AA47"/>
  <c r="AB47"/>
  <c r="AC47"/>
  <c r="AD47"/>
  <c r="AE47"/>
  <c r="AH47"/>
  <c r="AH49" s="1"/>
  <c r="AH108" s="1"/>
  <c r="AL47"/>
  <c r="AM47"/>
  <c r="AX47" s="1"/>
  <c r="AY47" s="1"/>
  <c r="BA47" s="1"/>
  <c r="BB47" s="1"/>
  <c r="AN47"/>
  <c r="AO47"/>
  <c r="AP47"/>
  <c r="AQ47"/>
  <c r="AR47"/>
  <c r="AS47"/>
  <c r="AT47"/>
  <c r="AU47"/>
  <c r="AV47"/>
  <c r="AW47"/>
  <c r="AZ47"/>
  <c r="AZ49"/>
  <c r="AZ108" s="1"/>
  <c r="Z49"/>
  <c r="N55"/>
  <c r="X55"/>
  <c r="Y55"/>
  <c r="Z55"/>
  <c r="AA55"/>
  <c r="AA70" s="1"/>
  <c r="AB55"/>
  <c r="AF55"/>
  <c r="AP55"/>
  <c r="AQ55"/>
  <c r="AQ70" s="1"/>
  <c r="AR55"/>
  <c r="AS55"/>
  <c r="AT55"/>
  <c r="AX55"/>
  <c r="N59"/>
  <c r="T59"/>
  <c r="U59"/>
  <c r="V59"/>
  <c r="W59"/>
  <c r="X59"/>
  <c r="X70" s="1"/>
  <c r="Y59"/>
  <c r="Z59"/>
  <c r="AA59"/>
  <c r="AB59"/>
  <c r="AB70" s="1"/>
  <c r="AC59"/>
  <c r="AD59"/>
  <c r="AE59"/>
  <c r="AF59"/>
  <c r="AL59"/>
  <c r="AM59"/>
  <c r="AX59" s="1"/>
  <c r="AN59"/>
  <c r="AN70" s="1"/>
  <c r="AO59"/>
  <c r="AP59"/>
  <c r="AQ59"/>
  <c r="AR59"/>
  <c r="AR70" s="1"/>
  <c r="AS59"/>
  <c r="AT59"/>
  <c r="AU59"/>
  <c r="AU70" s="1"/>
  <c r="AV59"/>
  <c r="AV70" s="1"/>
  <c r="AW59"/>
  <c r="N63"/>
  <c r="T63"/>
  <c r="U63"/>
  <c r="V63"/>
  <c r="W63"/>
  <c r="W70" s="1"/>
  <c r="X63"/>
  <c r="Y63"/>
  <c r="Z63"/>
  <c r="AA63"/>
  <c r="AB63"/>
  <c r="AC63"/>
  <c r="AD63"/>
  <c r="AE63"/>
  <c r="AL63"/>
  <c r="AM63"/>
  <c r="AX63" s="1"/>
  <c r="AN63"/>
  <c r="AO63"/>
  <c r="AO70" s="1"/>
  <c r="AP63"/>
  <c r="AQ63"/>
  <c r="AR63"/>
  <c r="AS63"/>
  <c r="AS70" s="1"/>
  <c r="AT63"/>
  <c r="AU63"/>
  <c r="AV63"/>
  <c r="AW63"/>
  <c r="AW70" s="1"/>
  <c r="T65"/>
  <c r="T67" s="1"/>
  <c r="U65"/>
  <c r="U67"/>
  <c r="V65"/>
  <c r="AC65"/>
  <c r="AC67" s="1"/>
  <c r="AD65"/>
  <c r="AD67" s="1"/>
  <c r="AE65"/>
  <c r="AE67"/>
  <c r="AL65"/>
  <c r="AM65"/>
  <c r="AM67" s="1"/>
  <c r="AN65"/>
  <c r="AU65"/>
  <c r="AV65"/>
  <c r="AW65"/>
  <c r="V67"/>
  <c r="V70" s="1"/>
  <c r="W67"/>
  <c r="X67"/>
  <c r="Y67"/>
  <c r="Z67"/>
  <c r="Z70" s="1"/>
  <c r="AA67"/>
  <c r="AB67"/>
  <c r="AL67"/>
  <c r="AN67"/>
  <c r="AO67"/>
  <c r="AP67"/>
  <c r="AQ67"/>
  <c r="AR67"/>
  <c r="AS67"/>
  <c r="AT67"/>
  <c r="AU67"/>
  <c r="AV67"/>
  <c r="AW67"/>
  <c r="Y70"/>
  <c r="AL70"/>
  <c r="AP70"/>
  <c r="AT70"/>
  <c r="T73"/>
  <c r="T75" s="1"/>
  <c r="U73"/>
  <c r="U75"/>
  <c r="V73"/>
  <c r="W73"/>
  <c r="W75" s="1"/>
  <c r="W113" s="1"/>
  <c r="W119" s="1"/>
  <c r="X73"/>
  <c r="X75" s="1"/>
  <c r="Y73"/>
  <c r="Y75"/>
  <c r="Z73"/>
  <c r="AA73"/>
  <c r="AA75" s="1"/>
  <c r="AA113" s="1"/>
  <c r="AA119" s="1"/>
  <c r="AB73"/>
  <c r="AB75" s="1"/>
  <c r="AC73"/>
  <c r="AC75"/>
  <c r="AD73"/>
  <c r="AE73"/>
  <c r="AE75" s="1"/>
  <c r="AL73"/>
  <c r="AL75" s="1"/>
  <c r="AM73"/>
  <c r="AN73"/>
  <c r="AO73"/>
  <c r="AP73"/>
  <c r="AQ73"/>
  <c r="AR73"/>
  <c r="AS73"/>
  <c r="AT73"/>
  <c r="AU73"/>
  <c r="AV73"/>
  <c r="AW73"/>
  <c r="V75"/>
  <c r="Z75"/>
  <c r="AD75"/>
  <c r="AM75"/>
  <c r="AM91" s="1"/>
  <c r="AN75"/>
  <c r="AO75"/>
  <c r="AP75"/>
  <c r="AP89" s="1"/>
  <c r="AQ75"/>
  <c r="AR75"/>
  <c r="AS75"/>
  <c r="AT75"/>
  <c r="AT89" s="1"/>
  <c r="AU75"/>
  <c r="AV75"/>
  <c r="AW75"/>
  <c r="T77"/>
  <c r="T79" s="1"/>
  <c r="U77"/>
  <c r="V77"/>
  <c r="V79"/>
  <c r="W77"/>
  <c r="X77"/>
  <c r="X79" s="1"/>
  <c r="Y77"/>
  <c r="Z77"/>
  <c r="Z79"/>
  <c r="AA77"/>
  <c r="AB77"/>
  <c r="AB79" s="1"/>
  <c r="AC77"/>
  <c r="AD77"/>
  <c r="AD79"/>
  <c r="AE77"/>
  <c r="AL77"/>
  <c r="AM77"/>
  <c r="AN77"/>
  <c r="AN79" s="1"/>
  <c r="AO77"/>
  <c r="AP77"/>
  <c r="AQ77"/>
  <c r="AR77"/>
  <c r="AR79" s="1"/>
  <c r="AS77"/>
  <c r="AT77"/>
  <c r="AU77"/>
  <c r="AV77"/>
  <c r="AV79" s="1"/>
  <c r="AW77"/>
  <c r="U79"/>
  <c r="W79"/>
  <c r="Y79"/>
  <c r="AA79"/>
  <c r="AC79"/>
  <c r="AE79"/>
  <c r="AL79"/>
  <c r="AM79"/>
  <c r="AO79"/>
  <c r="AP79"/>
  <c r="AQ79"/>
  <c r="AQ91" s="1"/>
  <c r="AS79"/>
  <c r="AT79"/>
  <c r="AU79"/>
  <c r="AU91" s="1"/>
  <c r="AW79"/>
  <c r="N83"/>
  <c r="T83"/>
  <c r="U83"/>
  <c r="V83"/>
  <c r="W83"/>
  <c r="X83"/>
  <c r="Y83"/>
  <c r="Z83"/>
  <c r="AA83"/>
  <c r="AB83"/>
  <c r="AC83"/>
  <c r="AD83"/>
  <c r="AE83"/>
  <c r="AF83"/>
  <c r="AL83"/>
  <c r="AM83"/>
  <c r="AX83" s="1"/>
  <c r="AN83"/>
  <c r="AO83"/>
  <c r="AP83"/>
  <c r="AP93" s="1"/>
  <c r="AQ83"/>
  <c r="AR83"/>
  <c r="AS83"/>
  <c r="AT83"/>
  <c r="AT93" s="1"/>
  <c r="AU83"/>
  <c r="AV83"/>
  <c r="AW83"/>
  <c r="T85"/>
  <c r="T87" s="1"/>
  <c r="U85"/>
  <c r="V85"/>
  <c r="V87"/>
  <c r="W85"/>
  <c r="X85"/>
  <c r="X87" s="1"/>
  <c r="Y85"/>
  <c r="Z85"/>
  <c r="Z87"/>
  <c r="AA85"/>
  <c r="AB85"/>
  <c r="AB87" s="1"/>
  <c r="AC85"/>
  <c r="AD85"/>
  <c r="AD87"/>
  <c r="AE85"/>
  <c r="AF85"/>
  <c r="AL85"/>
  <c r="AM85"/>
  <c r="AM87" s="1"/>
  <c r="AN85"/>
  <c r="AN87" s="1"/>
  <c r="AO85"/>
  <c r="AO87"/>
  <c r="AP85"/>
  <c r="AQ85"/>
  <c r="AQ87" s="1"/>
  <c r="AR85"/>
  <c r="AR87" s="1"/>
  <c r="AS85"/>
  <c r="AS87"/>
  <c r="AT85"/>
  <c r="AU85"/>
  <c r="AU87" s="1"/>
  <c r="AV85"/>
  <c r="AV87" s="1"/>
  <c r="AW85"/>
  <c r="AW87"/>
  <c r="AX85"/>
  <c r="U87"/>
  <c r="W87"/>
  <c r="Y87"/>
  <c r="Y93" s="1"/>
  <c r="AA87"/>
  <c r="AC87"/>
  <c r="AE87"/>
  <c r="AL87"/>
  <c r="AL93" s="1"/>
  <c r="AP87"/>
  <c r="AT87"/>
  <c r="AO91"/>
  <c r="AP91"/>
  <c r="AP95" s="1"/>
  <c r="AS91"/>
  <c r="AT91"/>
  <c r="AT95" s="1"/>
  <c r="AW91"/>
  <c r="W93"/>
  <c r="AA93"/>
  <c r="P95"/>
  <c r="AH95"/>
  <c r="AZ95"/>
  <c r="N100"/>
  <c r="T100"/>
  <c r="U100"/>
  <c r="V100"/>
  <c r="V106" s="1"/>
  <c r="W100"/>
  <c r="X100"/>
  <c r="X106"/>
  <c r="Y100"/>
  <c r="Z100"/>
  <c r="Z106" s="1"/>
  <c r="AA100"/>
  <c r="AB100"/>
  <c r="AB106"/>
  <c r="AC100"/>
  <c r="AD100"/>
  <c r="AD106" s="1"/>
  <c r="AE100"/>
  <c r="AL100"/>
  <c r="AM100"/>
  <c r="AN100"/>
  <c r="AO100"/>
  <c r="AX100" s="1"/>
  <c r="AP100"/>
  <c r="AQ100"/>
  <c r="AQ106" s="1"/>
  <c r="AR100"/>
  <c r="AS100"/>
  <c r="AT100"/>
  <c r="AU100"/>
  <c r="AU106" s="1"/>
  <c r="AV100"/>
  <c r="AW100"/>
  <c r="N104"/>
  <c r="T104"/>
  <c r="T106" s="1"/>
  <c r="AF106" s="1"/>
  <c r="AG106" s="1"/>
  <c r="AI106" s="1"/>
  <c r="AJ106" s="1"/>
  <c r="U104"/>
  <c r="V104"/>
  <c r="W104"/>
  <c r="AF104" s="1"/>
  <c r="X104"/>
  <c r="Y104"/>
  <c r="Y106" s="1"/>
  <c r="Z104"/>
  <c r="AA104"/>
  <c r="AB104"/>
  <c r="AC104"/>
  <c r="AC106" s="1"/>
  <c r="AD104"/>
  <c r="AE104"/>
  <c r="AL104"/>
  <c r="AL106"/>
  <c r="AM104"/>
  <c r="AN104"/>
  <c r="AN106" s="1"/>
  <c r="AO104"/>
  <c r="AP104"/>
  <c r="AP106"/>
  <c r="AQ104"/>
  <c r="AR104"/>
  <c r="AR106" s="1"/>
  <c r="AS104"/>
  <c r="AT104"/>
  <c r="AT106"/>
  <c r="AU104"/>
  <c r="AV104"/>
  <c r="AV106" s="1"/>
  <c r="AW104"/>
  <c r="U106"/>
  <c r="W106"/>
  <c r="AA106"/>
  <c r="AE106"/>
  <c r="AM106"/>
  <c r="AO106"/>
  <c r="AS106"/>
  <c r="AW106"/>
  <c r="D111"/>
  <c r="G111"/>
  <c r="J111"/>
  <c r="J118" s="1"/>
  <c r="AL111"/>
  <c r="AP111"/>
  <c r="AT111"/>
  <c r="B112"/>
  <c r="C112"/>
  <c r="D112"/>
  <c r="E112"/>
  <c r="F112"/>
  <c r="G112"/>
  <c r="H112"/>
  <c r="I112"/>
  <c r="J112"/>
  <c r="K112"/>
  <c r="L112"/>
  <c r="M112"/>
  <c r="N112"/>
  <c r="T112"/>
  <c r="U112"/>
  <c r="V112"/>
  <c r="W112"/>
  <c r="X112"/>
  <c r="Y112"/>
  <c r="Z112"/>
  <c r="AA112"/>
  <c r="AB112"/>
  <c r="AC112"/>
  <c r="AD112"/>
  <c r="AE112"/>
  <c r="AL112"/>
  <c r="AM112"/>
  <c r="AN112"/>
  <c r="AO112"/>
  <c r="AP112"/>
  <c r="AQ112"/>
  <c r="AR112"/>
  <c r="AS112"/>
  <c r="AT112"/>
  <c r="AU112"/>
  <c r="AV112"/>
  <c r="AW112"/>
  <c r="H113"/>
  <c r="L113"/>
  <c r="AM113"/>
  <c r="AP113"/>
  <c r="AT113"/>
  <c r="B114"/>
  <c r="C114"/>
  <c r="D114"/>
  <c r="D118"/>
  <c r="E114"/>
  <c r="F114"/>
  <c r="G114"/>
  <c r="H114"/>
  <c r="I114"/>
  <c r="J114"/>
  <c r="K114"/>
  <c r="L114"/>
  <c r="M114"/>
  <c r="T114"/>
  <c r="U114"/>
  <c r="AF114" s="1"/>
  <c r="V114"/>
  <c r="W114"/>
  <c r="X114"/>
  <c r="Y114"/>
  <c r="Z114"/>
  <c r="AA114"/>
  <c r="AB114"/>
  <c r="AC114"/>
  <c r="AD114"/>
  <c r="AE114"/>
  <c r="AL114"/>
  <c r="AM114"/>
  <c r="AX114" s="1"/>
  <c r="AY114" s="1"/>
  <c r="AN114"/>
  <c r="AO114"/>
  <c r="AP114"/>
  <c r="AQ114"/>
  <c r="AR114"/>
  <c r="AS114"/>
  <c r="AT114"/>
  <c r="AU114"/>
  <c r="AV114"/>
  <c r="AW114"/>
  <c r="E115"/>
  <c r="G115"/>
  <c r="H115"/>
  <c r="H119" s="1"/>
  <c r="I115"/>
  <c r="J115"/>
  <c r="K115"/>
  <c r="L115"/>
  <c r="L119" s="1"/>
  <c r="M115"/>
  <c r="W115"/>
  <c r="Y115"/>
  <c r="Z115"/>
  <c r="AA115"/>
  <c r="AB115"/>
  <c r="AC115"/>
  <c r="AD115"/>
  <c r="AE115"/>
  <c r="AL115"/>
  <c r="AN115"/>
  <c r="AQ115"/>
  <c r="AR115"/>
  <c r="AS115"/>
  <c r="AT115"/>
  <c r="AU115"/>
  <c r="AV115"/>
  <c r="AW115"/>
  <c r="G118"/>
  <c r="AL118"/>
  <c r="AP118"/>
  <c r="AT118"/>
  <c r="AT119"/>
  <c r="P3" i="26"/>
  <c r="P4" s="1"/>
  <c r="P11"/>
  <c r="P13"/>
  <c r="P15"/>
  <c r="P17"/>
  <c r="P16" s="1"/>
  <c r="P19"/>
  <c r="P21"/>
  <c r="P23"/>
  <c r="P24"/>
  <c r="P25"/>
  <c r="P28"/>
  <c r="P30"/>
  <c r="P32"/>
  <c r="P34"/>
  <c r="P33"/>
  <c r="P36"/>
  <c r="P38"/>
  <c r="P40"/>
  <c r="P42"/>
  <c r="P41" s="1"/>
  <c r="P44"/>
  <c r="P46"/>
  <c r="P48"/>
  <c r="P50"/>
  <c r="P49" s="1"/>
  <c r="P52"/>
  <c r="P53"/>
  <c r="P54"/>
  <c r="P57"/>
  <c r="P59"/>
  <c r="P62"/>
  <c r="P63"/>
  <c r="P64"/>
  <c r="O2" i="3"/>
  <c r="O4"/>
  <c r="O5"/>
  <c r="O7"/>
  <c r="O6"/>
  <c r="O8"/>
  <c r="O10"/>
  <c r="O9"/>
  <c r="O11"/>
  <c r="O13"/>
  <c r="O12"/>
  <c r="O14"/>
  <c r="O16"/>
  <c r="O17"/>
  <c r="O19"/>
  <c r="O20"/>
  <c r="O21"/>
  <c r="H23"/>
  <c r="I23"/>
  <c r="J23"/>
  <c r="O23"/>
  <c r="O28" s="1"/>
  <c r="H24"/>
  <c r="I24"/>
  <c r="J24"/>
  <c r="O24"/>
  <c r="H25"/>
  <c r="I25"/>
  <c r="J25"/>
  <c r="O25"/>
  <c r="H26"/>
  <c r="I26"/>
  <c r="J26"/>
  <c r="H27"/>
  <c r="I27"/>
  <c r="J27"/>
  <c r="O27"/>
  <c r="H28"/>
  <c r="I28"/>
  <c r="J28"/>
  <c r="O30"/>
  <c r="O32"/>
  <c r="O33"/>
  <c r="O35"/>
  <c r="O36"/>
  <c r="O38"/>
  <c r="O42"/>
  <c r="O44"/>
  <c r="O43"/>
  <c r="O45"/>
  <c r="O47"/>
  <c r="O46"/>
  <c r="O48"/>
  <c r="O50"/>
  <c r="O49"/>
  <c r="O57"/>
  <c r="O58"/>
  <c r="C59"/>
  <c r="D59"/>
  <c r="E59"/>
  <c r="F59"/>
  <c r="G59"/>
  <c r="H59"/>
  <c r="I59"/>
  <c r="J59"/>
  <c r="C60"/>
  <c r="D60"/>
  <c r="E60"/>
  <c r="F60"/>
  <c r="G60"/>
  <c r="G62"/>
  <c r="G63"/>
  <c r="H60"/>
  <c r="I60"/>
  <c r="I62"/>
  <c r="I63"/>
  <c r="J60"/>
  <c r="O60"/>
  <c r="O65" s="1"/>
  <c r="C61"/>
  <c r="D61"/>
  <c r="O61"/>
  <c r="E61"/>
  <c r="F61"/>
  <c r="G61"/>
  <c r="H61"/>
  <c r="I61"/>
  <c r="J61"/>
  <c r="F62"/>
  <c r="H62"/>
  <c r="J62"/>
  <c r="F63"/>
  <c r="H63"/>
  <c r="J63"/>
  <c r="F64"/>
  <c r="H64"/>
  <c r="J64"/>
  <c r="F65"/>
  <c r="H65"/>
  <c r="J65"/>
  <c r="O67"/>
  <c r="O69"/>
  <c r="O73"/>
  <c r="O75"/>
  <c r="O76"/>
  <c r="O78"/>
  <c r="O77"/>
  <c r="O79"/>
  <c r="O80"/>
  <c r="O81"/>
  <c r="O82"/>
  <c r="O85" s="1"/>
  <c r="O83"/>
  <c r="O86" s="1"/>
  <c r="C84"/>
  <c r="D84"/>
  <c r="E84"/>
  <c r="F84"/>
  <c r="G84"/>
  <c r="H84"/>
  <c r="I84"/>
  <c r="J84"/>
  <c r="D88"/>
  <c r="D89"/>
  <c r="C91"/>
  <c r="C93"/>
  <c r="D91"/>
  <c r="E91"/>
  <c r="E109"/>
  <c r="F91"/>
  <c r="G91"/>
  <c r="G109"/>
  <c r="H91"/>
  <c r="I91"/>
  <c r="I109"/>
  <c r="J91"/>
  <c r="O91"/>
  <c r="D92"/>
  <c r="E92"/>
  <c r="E93"/>
  <c r="F92"/>
  <c r="G92"/>
  <c r="G93"/>
  <c r="H92"/>
  <c r="I92"/>
  <c r="I93"/>
  <c r="J92"/>
  <c r="O92"/>
  <c r="D93"/>
  <c r="F93"/>
  <c r="H93"/>
  <c r="J93"/>
  <c r="C95"/>
  <c r="O95"/>
  <c r="D95"/>
  <c r="D109"/>
  <c r="D94"/>
  <c r="E95"/>
  <c r="F95"/>
  <c r="F99"/>
  <c r="F109"/>
  <c r="G95"/>
  <c r="G99"/>
  <c r="G105"/>
  <c r="G107"/>
  <c r="H95"/>
  <c r="H99"/>
  <c r="H109"/>
  <c r="I95"/>
  <c r="I99"/>
  <c r="I105"/>
  <c r="I107"/>
  <c r="J95"/>
  <c r="J99"/>
  <c r="J109"/>
  <c r="C96"/>
  <c r="C97"/>
  <c r="D96"/>
  <c r="E96"/>
  <c r="E97"/>
  <c r="F96"/>
  <c r="G96"/>
  <c r="G97"/>
  <c r="H96"/>
  <c r="I96"/>
  <c r="I97"/>
  <c r="J96"/>
  <c r="O96"/>
  <c r="O97" s="1"/>
  <c r="D97"/>
  <c r="F97"/>
  <c r="H97"/>
  <c r="J97"/>
  <c r="O99"/>
  <c r="F100"/>
  <c r="F101"/>
  <c r="G100"/>
  <c r="H100"/>
  <c r="H101"/>
  <c r="I100"/>
  <c r="J100"/>
  <c r="J101"/>
  <c r="G101"/>
  <c r="I101"/>
  <c r="F102"/>
  <c r="F103"/>
  <c r="G102"/>
  <c r="H102"/>
  <c r="H103"/>
  <c r="I102"/>
  <c r="J102"/>
  <c r="J103"/>
  <c r="G103"/>
  <c r="I103"/>
  <c r="F104"/>
  <c r="O104"/>
  <c r="G104"/>
  <c r="H104"/>
  <c r="I104"/>
  <c r="J104"/>
  <c r="F105"/>
  <c r="F107"/>
  <c r="F108"/>
  <c r="H105"/>
  <c r="H107"/>
  <c r="H108"/>
  <c r="J105"/>
  <c r="J107"/>
  <c r="J108"/>
  <c r="D110"/>
  <c r="D111"/>
  <c r="F110"/>
  <c r="F111"/>
  <c r="H110"/>
  <c r="J110"/>
  <c r="J111"/>
  <c r="F113"/>
  <c r="H113"/>
  <c r="J113"/>
  <c r="C116"/>
  <c r="D116"/>
  <c r="E116"/>
  <c r="F116"/>
  <c r="F119"/>
  <c r="G116"/>
  <c r="H116"/>
  <c r="I116"/>
  <c r="J116"/>
  <c r="K116"/>
  <c r="L116"/>
  <c r="O116" s="1"/>
  <c r="K118"/>
  <c r="K117"/>
  <c r="K119" s="1"/>
  <c r="G117"/>
  <c r="G118"/>
  <c r="G119"/>
  <c r="H117"/>
  <c r="H118"/>
  <c r="H119"/>
  <c r="I117"/>
  <c r="I118"/>
  <c r="I119"/>
  <c r="J117"/>
  <c r="J118"/>
  <c r="J119"/>
  <c r="L118"/>
  <c r="L117"/>
  <c r="O117" s="1"/>
  <c r="C117"/>
  <c r="C118"/>
  <c r="C119"/>
  <c r="D117"/>
  <c r="D118"/>
  <c r="E117"/>
  <c r="E118"/>
  <c r="E119"/>
  <c r="F117"/>
  <c r="F118"/>
  <c r="D121"/>
  <c r="D122"/>
  <c r="D123"/>
  <c r="D124"/>
  <c r="C125"/>
  <c r="D125"/>
  <c r="E125"/>
  <c r="O125"/>
  <c r="C126"/>
  <c r="D126"/>
  <c r="E126"/>
  <c r="O126"/>
  <c r="C127"/>
  <c r="D127"/>
  <c r="E127"/>
  <c r="O127"/>
  <c r="C128"/>
  <c r="D128"/>
  <c r="E128"/>
  <c r="O133"/>
  <c r="O134"/>
  <c r="C135"/>
  <c r="D135"/>
  <c r="E135"/>
  <c r="F135"/>
  <c r="G135"/>
  <c r="H135"/>
  <c r="I135"/>
  <c r="J135"/>
  <c r="K135"/>
  <c r="L135"/>
  <c r="O135" s="1"/>
  <c r="C5" i="36"/>
  <c r="C138" i="3" s="1"/>
  <c r="D5" i="36"/>
  <c r="D138" i="3" s="1"/>
  <c r="D141" s="1"/>
  <c r="E5" i="36"/>
  <c r="E138" i="3"/>
  <c r="E141" s="1"/>
  <c r="F5" i="36"/>
  <c r="F138" i="3" s="1"/>
  <c r="F141" s="1"/>
  <c r="G5" i="36"/>
  <c r="G138" i="3" s="1"/>
  <c r="G141" s="1"/>
  <c r="H5" i="36"/>
  <c r="H138" i="3" s="1"/>
  <c r="H141" s="1"/>
  <c r="I5" i="36"/>
  <c r="I138" i="3" s="1"/>
  <c r="I141" s="1"/>
  <c r="J5" i="36"/>
  <c r="J138" i="3" s="1"/>
  <c r="J141" s="1"/>
  <c r="K5" i="36"/>
  <c r="K138" i="3" s="1"/>
  <c r="K141" s="1"/>
  <c r="C10" i="36"/>
  <c r="C139" i="3" s="1"/>
  <c r="C142" s="1"/>
  <c r="D10" i="36"/>
  <c r="D139" i="3" s="1"/>
  <c r="D142" s="1"/>
  <c r="E10" i="36"/>
  <c r="E139" i="3" s="1"/>
  <c r="E142" s="1"/>
  <c r="F10" i="36"/>
  <c r="F139" i="3" s="1"/>
  <c r="G10" i="36"/>
  <c r="G139" i="3" s="1"/>
  <c r="H10" i="36"/>
  <c r="H139" i="3" s="1"/>
  <c r="I10" i="36"/>
  <c r="I139" i="3" s="1"/>
  <c r="J10" i="36"/>
  <c r="J139" i="3" s="1"/>
  <c r="L139"/>
  <c r="L153" s="1"/>
  <c r="G151"/>
  <c r="H151"/>
  <c r="I151"/>
  <c r="J151"/>
  <c r="K151"/>
  <c r="G152"/>
  <c r="H152"/>
  <c r="I152"/>
  <c r="J152"/>
  <c r="K152"/>
  <c r="G154"/>
  <c r="H154"/>
  <c r="I154"/>
  <c r="J154"/>
  <c r="K154"/>
  <c r="D1" i="35"/>
  <c r="P1"/>
  <c r="AB1"/>
  <c r="AN1"/>
  <c r="G4" i="36"/>
  <c r="H4"/>
  <c r="I4"/>
  <c r="J4"/>
  <c r="K4"/>
  <c r="L5" i="5"/>
  <c r="S4" i="36"/>
  <c r="T4"/>
  <c r="U4"/>
  <c r="V4"/>
  <c r="W4"/>
  <c r="AA5" i="5"/>
  <c r="AB5"/>
  <c r="AC5"/>
  <c r="AD5"/>
  <c r="AE4" i="36"/>
  <c r="AF4"/>
  <c r="AG4"/>
  <c r="AH4"/>
  <c r="AI4"/>
  <c r="S5"/>
  <c r="T5"/>
  <c r="U5"/>
  <c r="V5"/>
  <c r="W5"/>
  <c r="AB6" i="5"/>
  <c r="AD6"/>
  <c r="AE6" i="35"/>
  <c r="AE5" i="36" s="1"/>
  <c r="AF6" i="35"/>
  <c r="AF5" i="36"/>
  <c r="AG6" i="35"/>
  <c r="AG5" i="36" s="1"/>
  <c r="AH6" i="35"/>
  <c r="AH5" i="36" s="1"/>
  <c r="AI6" i="35"/>
  <c r="AI5" i="36" s="1"/>
  <c r="AM7" i="6"/>
  <c r="AM7" i="28"/>
  <c r="S7" i="36"/>
  <c r="T7"/>
  <c r="U7"/>
  <c r="V7"/>
  <c r="W7"/>
  <c r="AE7"/>
  <c r="AF7"/>
  <c r="AG7"/>
  <c r="AH7"/>
  <c r="AI7"/>
  <c r="C12"/>
  <c r="D12"/>
  <c r="E12"/>
  <c r="M12"/>
  <c r="N12"/>
  <c r="O12"/>
  <c r="P12"/>
  <c r="Q12"/>
  <c r="R12"/>
  <c r="X12"/>
  <c r="Y12"/>
  <c r="Z12"/>
  <c r="AA12"/>
  <c r="AB12"/>
  <c r="AC12"/>
  <c r="AD12"/>
  <c r="AJ12"/>
  <c r="AK12"/>
  <c r="AL12"/>
  <c r="AM12"/>
  <c r="B17"/>
  <c r="B18"/>
  <c r="B19" s="1"/>
  <c r="B22" i="35"/>
  <c r="B20" i="36" s="1"/>
  <c r="B23" s="1"/>
  <c r="C22" i="28"/>
  <c r="C22" i="35" s="1"/>
  <c r="C20" i="36" s="1"/>
  <c r="D22" i="35"/>
  <c r="D20" i="36" s="1"/>
  <c r="E22" i="28"/>
  <c r="E22" i="35"/>
  <c r="E20" i="36" s="1"/>
  <c r="F22" i="35"/>
  <c r="F20" i="36" s="1"/>
  <c r="G22" i="28"/>
  <c r="G22" i="35" s="1"/>
  <c r="H22" i="28"/>
  <c r="H22" i="35"/>
  <c r="H20" i="36" s="1"/>
  <c r="I22" i="28"/>
  <c r="I22" i="35" s="1"/>
  <c r="J22" i="28"/>
  <c r="J22" i="35" s="1"/>
  <c r="J20" i="36" s="1"/>
  <c r="B23" i="35"/>
  <c r="B21" i="36" s="1"/>
  <c r="C23" i="28"/>
  <c r="C23" i="35" s="1"/>
  <c r="D23"/>
  <c r="D21" i="36" s="1"/>
  <c r="E23" i="28"/>
  <c r="E23" i="35" s="1"/>
  <c r="E21" i="36" s="1"/>
  <c r="F23" i="28"/>
  <c r="F23" i="35" s="1"/>
  <c r="G23" i="28"/>
  <c r="G23" i="35" s="1"/>
  <c r="G21" i="36" s="1"/>
  <c r="H23" i="28"/>
  <c r="H23" i="35" s="1"/>
  <c r="I23" i="28"/>
  <c r="I23" i="35" s="1"/>
  <c r="I21" i="36" s="1"/>
  <c r="J23" i="28"/>
  <c r="J23" i="35" s="1"/>
  <c r="D2"/>
  <c r="P2"/>
  <c r="AB2"/>
  <c r="AN2"/>
  <c r="G10"/>
  <c r="H14"/>
  <c r="B17"/>
  <c r="B20"/>
  <c r="K22" i="28"/>
  <c r="K22" i="35" s="1"/>
  <c r="K20" i="36" s="1"/>
  <c r="K23" i="28"/>
  <c r="K23" i="35" s="1"/>
  <c r="K21" i="36" s="1"/>
  <c r="B30" i="35"/>
  <c r="C30"/>
  <c r="D30"/>
  <c r="E30"/>
  <c r="F30"/>
  <c r="G30"/>
  <c r="H30"/>
  <c r="I30"/>
  <c r="J30"/>
  <c r="K30"/>
  <c r="B31"/>
  <c r="X5" i="28"/>
  <c r="X6"/>
  <c r="Y5"/>
  <c r="Z5"/>
  <c r="Z6"/>
  <c r="AA5"/>
  <c r="AB5"/>
  <c r="AB6"/>
  <c r="AC5"/>
  <c r="AD5"/>
  <c r="AD6"/>
  <c r="AJ5"/>
  <c r="AK5"/>
  <c r="AK6"/>
  <c r="AL5"/>
  <c r="AM5"/>
  <c r="AM6"/>
  <c r="AM8"/>
  <c r="Y6"/>
  <c r="AA6"/>
  <c r="AC6"/>
  <c r="AJ6"/>
  <c r="AL6"/>
  <c r="H10"/>
  <c r="I10"/>
  <c r="J10"/>
  <c r="K10"/>
  <c r="T10"/>
  <c r="U10"/>
  <c r="V10"/>
  <c r="W10"/>
  <c r="AF10"/>
  <c r="AG10"/>
  <c r="AH10"/>
  <c r="AI10"/>
  <c r="T11"/>
  <c r="U11"/>
  <c r="V11"/>
  <c r="W11"/>
  <c r="AF11"/>
  <c r="AG11"/>
  <c r="AH11"/>
  <c r="AI11"/>
  <c r="B17"/>
  <c r="C17"/>
  <c r="B20"/>
  <c r="B24" i="6"/>
  <c r="B24" i="28"/>
  <c r="C24" i="6"/>
  <c r="C24" i="28"/>
  <c r="D24" i="6"/>
  <c r="D24" i="28"/>
  <c r="E24" i="6"/>
  <c r="E24" i="28"/>
  <c r="F24" i="6"/>
  <c r="F24" i="28"/>
  <c r="G24" i="6"/>
  <c r="G24" i="28"/>
  <c r="H24" i="6"/>
  <c r="H24" i="28"/>
  <c r="I24" i="6"/>
  <c r="I24" i="28"/>
  <c r="J24" i="6"/>
  <c r="J24" i="28"/>
  <c r="K24" i="6"/>
  <c r="K24" i="28"/>
  <c r="L24"/>
  <c r="B26"/>
  <c r="C26"/>
  <c r="B27"/>
  <c r="B28"/>
  <c r="C5" i="6"/>
  <c r="C5" i="35"/>
  <c r="D5" i="6"/>
  <c r="D5" i="35"/>
  <c r="E5" i="6"/>
  <c r="E5" i="35"/>
  <c r="F5" i="6"/>
  <c r="F5" i="35"/>
  <c r="L5" i="6"/>
  <c r="M5"/>
  <c r="M5" i="35" s="1"/>
  <c r="M4" i="36" s="1"/>
  <c r="N5" i="6"/>
  <c r="N5" i="35"/>
  <c r="O5" i="6"/>
  <c r="O5" i="35"/>
  <c r="P5" i="6"/>
  <c r="P5" i="35"/>
  <c r="Q5" i="6"/>
  <c r="Q5" i="35"/>
  <c r="R5" i="6"/>
  <c r="R5" i="35"/>
  <c r="X5" i="6"/>
  <c r="X5" i="35"/>
  <c r="Y5" i="6"/>
  <c r="Y5" i="35"/>
  <c r="Z5" i="6"/>
  <c r="Z5" i="35"/>
  <c r="AA5" i="6"/>
  <c r="AB5"/>
  <c r="AB5" i="35"/>
  <c r="AC5" i="6"/>
  <c r="AD5"/>
  <c r="AD5" i="35"/>
  <c r="AJ5" i="6"/>
  <c r="AK5"/>
  <c r="AL5"/>
  <c r="AM5"/>
  <c r="O6"/>
  <c r="P6"/>
  <c r="Q6"/>
  <c r="R6"/>
  <c r="X6"/>
  <c r="Y6"/>
  <c r="Z6"/>
  <c r="AA6"/>
  <c r="AB6"/>
  <c r="AC6"/>
  <c r="AD6"/>
  <c r="AJ6"/>
  <c r="AK6"/>
  <c r="AL6"/>
  <c r="AM6"/>
  <c r="AM8"/>
  <c r="H10"/>
  <c r="I10"/>
  <c r="J10"/>
  <c r="K10"/>
  <c r="T10"/>
  <c r="U10"/>
  <c r="V10"/>
  <c r="W10"/>
  <c r="AF10"/>
  <c r="AG10"/>
  <c r="AH10"/>
  <c r="AI10"/>
  <c r="T11"/>
  <c r="U11"/>
  <c r="V11"/>
  <c r="W11"/>
  <c r="AF11"/>
  <c r="AG11"/>
  <c r="AH11"/>
  <c r="AI11"/>
  <c r="B17"/>
  <c r="C17"/>
  <c r="D17"/>
  <c r="E17"/>
  <c r="F17"/>
  <c r="G17"/>
  <c r="H17"/>
  <c r="I17"/>
  <c r="J17"/>
  <c r="B20"/>
  <c r="B26"/>
  <c r="C26"/>
  <c r="D26"/>
  <c r="E26"/>
  <c r="F26"/>
  <c r="G26"/>
  <c r="H26"/>
  <c r="I26"/>
  <c r="J26"/>
  <c r="B27"/>
  <c r="B28"/>
  <c r="B31"/>
  <c r="C31"/>
  <c r="D31"/>
  <c r="E31"/>
  <c r="F31"/>
  <c r="G31"/>
  <c r="H31"/>
  <c r="I31"/>
  <c r="J31"/>
  <c r="AJ5" i="5"/>
  <c r="AJ5" i="35"/>
  <c r="AK5" i="5"/>
  <c r="AK5" i="35"/>
  <c r="AL5" i="5"/>
  <c r="AL5" i="35"/>
  <c r="AM5" i="5"/>
  <c r="AM5" i="35"/>
  <c r="AM4" i="36" s="1"/>
  <c r="AJ6" i="5"/>
  <c r="AK6"/>
  <c r="AL6"/>
  <c r="AM6"/>
  <c r="H10"/>
  <c r="H10" i="35"/>
  <c r="H9" s="1"/>
  <c r="I10" i="5"/>
  <c r="I10" i="35"/>
  <c r="I9" s="1"/>
  <c r="J10" i="5"/>
  <c r="J10" i="35"/>
  <c r="J9" s="1"/>
  <c r="K10" i="5"/>
  <c r="T10"/>
  <c r="U10"/>
  <c r="U10" i="35"/>
  <c r="U9" i="36" s="1"/>
  <c r="V10" i="5"/>
  <c r="V10" i="35"/>
  <c r="V9" i="36" s="1"/>
  <c r="W10" i="5"/>
  <c r="W10" i="35"/>
  <c r="W9" i="36" s="1"/>
  <c r="AF10" i="5"/>
  <c r="AF10" i="35"/>
  <c r="AF9" i="36" s="1"/>
  <c r="AG10" i="5"/>
  <c r="AG10" i="35"/>
  <c r="AG9" i="36" s="1"/>
  <c r="AH10" i="5"/>
  <c r="AH10" i="35"/>
  <c r="AH9" i="36" s="1"/>
  <c r="AI10" i="5"/>
  <c r="AI10" i="35"/>
  <c r="AI9" i="36" s="1"/>
  <c r="T11" i="5"/>
  <c r="T11" i="35"/>
  <c r="U11" i="5"/>
  <c r="V11"/>
  <c r="W11"/>
  <c r="AF11"/>
  <c r="AG11"/>
  <c r="AH11"/>
  <c r="AI11"/>
  <c r="B17"/>
  <c r="C17"/>
  <c r="D17"/>
  <c r="E17"/>
  <c r="F17"/>
  <c r="G17"/>
  <c r="H17"/>
  <c r="I17"/>
  <c r="J17"/>
  <c r="B20"/>
  <c r="B24"/>
  <c r="C24"/>
  <c r="D24"/>
  <c r="E24"/>
  <c r="F24"/>
  <c r="G24"/>
  <c r="H24"/>
  <c r="I24"/>
  <c r="B26"/>
  <c r="C26"/>
  <c r="D26"/>
  <c r="E26"/>
  <c r="F26"/>
  <c r="G26"/>
  <c r="H26"/>
  <c r="I26"/>
  <c r="J26"/>
  <c r="B27"/>
  <c r="B28"/>
  <c r="C31"/>
  <c r="D31"/>
  <c r="E31"/>
  <c r="F31"/>
  <c r="G31"/>
  <c r="H31"/>
  <c r="I31"/>
  <c r="J31"/>
  <c r="A1" i="4"/>
  <c r="D1"/>
  <c r="D1" i="36"/>
  <c r="P1" i="4"/>
  <c r="P1" i="36"/>
  <c r="AB1" i="4"/>
  <c r="AB1" i="36"/>
  <c r="AN1" i="4"/>
  <c r="AN1" i="36"/>
  <c r="C4" i="4"/>
  <c r="E4"/>
  <c r="G4"/>
  <c r="M4"/>
  <c r="O4"/>
  <c r="P4"/>
  <c r="Q4"/>
  <c r="R4"/>
  <c r="X4"/>
  <c r="Y4"/>
  <c r="Z4"/>
  <c r="AA4"/>
  <c r="AB4"/>
  <c r="AC4"/>
  <c r="AD4"/>
  <c r="C6"/>
  <c r="C4" i="36"/>
  <c r="D6" i="4"/>
  <c r="D4" i="36"/>
  <c r="E6" i="4"/>
  <c r="E4" i="36"/>
  <c r="F6" i="4"/>
  <c r="F4" i="36"/>
  <c r="L6" i="4"/>
  <c r="M6"/>
  <c r="N6"/>
  <c r="N4" i="36"/>
  <c r="O6" i="4"/>
  <c r="O4" i="36"/>
  <c r="P6" i="4"/>
  <c r="P4" i="36"/>
  <c r="Q6" i="4"/>
  <c r="Q4" i="36"/>
  <c r="R6" i="4"/>
  <c r="R4" i="36"/>
  <c r="X6" i="4"/>
  <c r="X4" i="36"/>
  <c r="Y6" i="4"/>
  <c r="Y4" i="36"/>
  <c r="Z6" i="4"/>
  <c r="Z4" i="36"/>
  <c r="AA6" i="4"/>
  <c r="AB6"/>
  <c r="AB4" i="36"/>
  <c r="AC6" i="4"/>
  <c r="AD6"/>
  <c r="AD4" i="36"/>
  <c r="AJ6" i="4"/>
  <c r="AJ4" i="36"/>
  <c r="AK6" i="4"/>
  <c r="AK4" i="36"/>
  <c r="AL6" i="4"/>
  <c r="AL4" i="36"/>
  <c r="C7" i="4"/>
  <c r="D7"/>
  <c r="E7"/>
  <c r="F7"/>
  <c r="G7"/>
  <c r="O8"/>
  <c r="P8"/>
  <c r="Q8"/>
  <c r="R8"/>
  <c r="X8"/>
  <c r="Y8"/>
  <c r="Z8"/>
  <c r="AA8"/>
  <c r="AB8"/>
  <c r="AC8"/>
  <c r="AD8"/>
  <c r="AJ8"/>
  <c r="AK8"/>
  <c r="AL8"/>
  <c r="H12"/>
  <c r="I12"/>
  <c r="J12"/>
  <c r="K12"/>
  <c r="T12"/>
  <c r="U12"/>
  <c r="V12"/>
  <c r="W12"/>
  <c r="AF12"/>
  <c r="AG12"/>
  <c r="AH12"/>
  <c r="AI12"/>
  <c r="T13"/>
  <c r="U13"/>
  <c r="V13"/>
  <c r="W13"/>
  <c r="AF13"/>
  <c r="AG13"/>
  <c r="AH13"/>
  <c r="AI13"/>
  <c r="B19"/>
  <c r="C19"/>
  <c r="D19"/>
  <c r="E19"/>
  <c r="F19"/>
  <c r="B23"/>
  <c r="B27"/>
  <c r="C27"/>
  <c r="D27"/>
  <c r="E27"/>
  <c r="F27"/>
  <c r="G27"/>
  <c r="H27"/>
  <c r="I27"/>
  <c r="J27"/>
  <c r="B29"/>
  <c r="C29"/>
  <c r="D29"/>
  <c r="E29"/>
  <c r="F29"/>
  <c r="B30"/>
  <c r="B31"/>
  <c r="S1" i="16"/>
  <c r="AJ1"/>
  <c r="BA1"/>
  <c r="Q39" i="14"/>
  <c r="AG37"/>
  <c r="AJ37"/>
  <c r="R39"/>
  <c r="AH37"/>
  <c r="Q44"/>
  <c r="AG42"/>
  <c r="R44"/>
  <c r="AH42"/>
  <c r="AH44"/>
  <c r="AH52"/>
  <c r="AH23"/>
  <c r="AJ46"/>
  <c r="AK9" i="12"/>
  <c r="AJ48" i="14"/>
  <c r="AJ43"/>
  <c r="AJ38"/>
  <c r="AJ51"/>
  <c r="AK37"/>
  <c r="AK46"/>
  <c r="AL9" i="12"/>
  <c r="AK48" i="14"/>
  <c r="AK43"/>
  <c r="AK38"/>
  <c r="AK51"/>
  <c r="AU37"/>
  <c r="AU46"/>
  <c r="AV9" i="12"/>
  <c r="AU48" i="14"/>
  <c r="AU43"/>
  <c r="AU38"/>
  <c r="AU51"/>
  <c r="AJ4" i="16"/>
  <c r="BA4"/>
  <c r="AJ6"/>
  <c r="BA6"/>
  <c r="AJ8"/>
  <c r="BA8"/>
  <c r="M9"/>
  <c r="BA11"/>
  <c r="S13"/>
  <c r="AJ13"/>
  <c r="BA13"/>
  <c r="G14"/>
  <c r="H14"/>
  <c r="I14"/>
  <c r="J14"/>
  <c r="K14"/>
  <c r="L14"/>
  <c r="M14"/>
  <c r="N14"/>
  <c r="O14"/>
  <c r="P14"/>
  <c r="Q14"/>
  <c r="R14"/>
  <c r="S14"/>
  <c r="X14"/>
  <c r="Y14"/>
  <c r="AJ14"/>
  <c r="Z14"/>
  <c r="AA14"/>
  <c r="AB14"/>
  <c r="AC14"/>
  <c r="AD14"/>
  <c r="AE14"/>
  <c r="AF14"/>
  <c r="AG14"/>
  <c r="AH14"/>
  <c r="AI14"/>
  <c r="AO14"/>
  <c r="AP14"/>
  <c r="AQ14"/>
  <c r="AR14"/>
  <c r="AS14"/>
  <c r="AT14"/>
  <c r="AU14"/>
  <c r="AV14"/>
  <c r="AW14"/>
  <c r="AX14"/>
  <c r="AY14"/>
  <c r="AZ14"/>
  <c r="BA14"/>
  <c r="M15"/>
  <c r="AO15"/>
  <c r="AP15"/>
  <c r="AQ15"/>
  <c r="AR15"/>
  <c r="AS15"/>
  <c r="AT15"/>
  <c r="AU15"/>
  <c r="AV15"/>
  <c r="AW15"/>
  <c r="G16"/>
  <c r="H16"/>
  <c r="I16"/>
  <c r="J16"/>
  <c r="K16"/>
  <c r="L16"/>
  <c r="M16"/>
  <c r="N16"/>
  <c r="O16"/>
  <c r="P16"/>
  <c r="Q16"/>
  <c r="R16"/>
  <c r="S16"/>
  <c r="X16"/>
  <c r="Y16"/>
  <c r="AJ16"/>
  <c r="Z16"/>
  <c r="AA16"/>
  <c r="AB16"/>
  <c r="AC16"/>
  <c r="AD16"/>
  <c r="AE16"/>
  <c r="AF16"/>
  <c r="AG16"/>
  <c r="AH16"/>
  <c r="AI16"/>
  <c r="AO16"/>
  <c r="AP16"/>
  <c r="AQ16"/>
  <c r="AR16"/>
  <c r="AS16"/>
  <c r="AT16"/>
  <c r="AU16"/>
  <c r="AV16"/>
  <c r="AW16"/>
  <c r="AX16"/>
  <c r="AY16"/>
  <c r="AZ16"/>
  <c r="BA16"/>
  <c r="S18"/>
  <c r="AJ18"/>
  <c r="BA18"/>
  <c r="G19"/>
  <c r="S19"/>
  <c r="H19"/>
  <c r="I19"/>
  <c r="J19"/>
  <c r="P19"/>
  <c r="Q19"/>
  <c r="R19"/>
  <c r="X19"/>
  <c r="AJ19"/>
  <c r="Y19"/>
  <c r="Z19"/>
  <c r="AA19"/>
  <c r="AG19"/>
  <c r="AH19"/>
  <c r="AI19"/>
  <c r="AO19"/>
  <c r="BA19"/>
  <c r="AP19"/>
  <c r="AQ19"/>
  <c r="AR19"/>
  <c r="AX19"/>
  <c r="AY19"/>
  <c r="AZ19"/>
  <c r="S20"/>
  <c r="AJ20"/>
  <c r="BA20"/>
  <c r="G21"/>
  <c r="H21"/>
  <c r="S21"/>
  <c r="I21"/>
  <c r="J21"/>
  <c r="K21"/>
  <c r="L21"/>
  <c r="M21"/>
  <c r="N21"/>
  <c r="O21"/>
  <c r="P21"/>
  <c r="Q21"/>
  <c r="R21"/>
  <c r="X21"/>
  <c r="Y21"/>
  <c r="Z21"/>
  <c r="AA21"/>
  <c r="AB21"/>
  <c r="AC21"/>
  <c r="AD21"/>
  <c r="AE21"/>
  <c r="AF21"/>
  <c r="AG21"/>
  <c r="AH21"/>
  <c r="AI21"/>
  <c r="AJ21"/>
  <c r="AO21"/>
  <c r="AP21"/>
  <c r="BA21"/>
  <c r="AQ21"/>
  <c r="AR21"/>
  <c r="AS21"/>
  <c r="AT21"/>
  <c r="AU21"/>
  <c r="AV21"/>
  <c r="AW21"/>
  <c r="AX21"/>
  <c r="AY21"/>
  <c r="AZ21"/>
  <c r="M22"/>
  <c r="AO22"/>
  <c r="AP22"/>
  <c r="AQ22"/>
  <c r="AR22"/>
  <c r="AS22"/>
  <c r="AT22"/>
  <c r="AU22"/>
  <c r="AV22"/>
  <c r="AW22"/>
  <c r="M23"/>
  <c r="M25"/>
  <c r="K27"/>
  <c r="L27"/>
  <c r="M27"/>
  <c r="N27"/>
  <c r="O27"/>
  <c r="AB27"/>
  <c r="AC27"/>
  <c r="AD27"/>
  <c r="AE27"/>
  <c r="AE26"/>
  <c r="AF27"/>
  <c r="AO25"/>
  <c r="AO28"/>
  <c r="AP25"/>
  <c r="AQ25"/>
  <c r="AQ28"/>
  <c r="AR25"/>
  <c r="AS25"/>
  <c r="AS28"/>
  <c r="AT25"/>
  <c r="AU25"/>
  <c r="AV25"/>
  <c r="AW25"/>
  <c r="AS27"/>
  <c r="AT27"/>
  <c r="AU27"/>
  <c r="AV27"/>
  <c r="AW27"/>
  <c r="G26"/>
  <c r="H26"/>
  <c r="I26"/>
  <c r="J26"/>
  <c r="K26"/>
  <c r="L26"/>
  <c r="M26"/>
  <c r="M28"/>
  <c r="N26"/>
  <c r="O26"/>
  <c r="P26"/>
  <c r="Q26"/>
  <c r="R26"/>
  <c r="S26"/>
  <c r="X26"/>
  <c r="AJ26"/>
  <c r="Y26"/>
  <c r="Z26"/>
  <c r="AA26"/>
  <c r="AB26"/>
  <c r="AC26"/>
  <c r="AD26"/>
  <c r="AF26"/>
  <c r="AG26"/>
  <c r="AH26"/>
  <c r="AI26"/>
  <c r="AO26"/>
  <c r="AP26"/>
  <c r="BA26"/>
  <c r="AQ26"/>
  <c r="AR26"/>
  <c r="AR28"/>
  <c r="AS26"/>
  <c r="AT26"/>
  <c r="AT28"/>
  <c r="AU26"/>
  <c r="AU28"/>
  <c r="AV26"/>
  <c r="AV28"/>
  <c r="AW26"/>
  <c r="AW28"/>
  <c r="AX26"/>
  <c r="AY26"/>
  <c r="AZ26"/>
  <c r="G27"/>
  <c r="H27"/>
  <c r="I27"/>
  <c r="J27"/>
  <c r="P27"/>
  <c r="Q27"/>
  <c r="R27"/>
  <c r="S27"/>
  <c r="X27"/>
  <c r="AJ27"/>
  <c r="Y27"/>
  <c r="Z27"/>
  <c r="AA27"/>
  <c r="AG27"/>
  <c r="AH27"/>
  <c r="AI27"/>
  <c r="AO27"/>
  <c r="AP27"/>
  <c r="AQ27"/>
  <c r="AR27"/>
  <c r="AX27"/>
  <c r="AY27"/>
  <c r="AZ27"/>
  <c r="BA27"/>
  <c r="G41"/>
  <c r="H41"/>
  <c r="I41"/>
  <c r="J41"/>
  <c r="K41"/>
  <c r="L41"/>
  <c r="M41"/>
  <c r="N41"/>
  <c r="O41"/>
  <c r="P41"/>
  <c r="Q41"/>
  <c r="R41"/>
  <c r="X41"/>
  <c r="Y41"/>
  <c r="Z41"/>
  <c r="AA41"/>
  <c r="AB41"/>
  <c r="AC41"/>
  <c r="AD41"/>
  <c r="AE41"/>
  <c r="AF41"/>
  <c r="AG41"/>
  <c r="AH41"/>
  <c r="AI41"/>
  <c r="AJ41"/>
  <c r="AO41"/>
  <c r="AP41"/>
  <c r="AQ41"/>
  <c r="AR41"/>
  <c r="AS41"/>
  <c r="AT41"/>
  <c r="AU41"/>
  <c r="AV41"/>
  <c r="AW41"/>
  <c r="AX41"/>
  <c r="AY41"/>
  <c r="AZ41"/>
  <c r="BA41"/>
  <c r="G43"/>
  <c r="H43"/>
  <c r="I43"/>
  <c r="J43"/>
  <c r="K43"/>
  <c r="L43"/>
  <c r="N43"/>
  <c r="O43"/>
  <c r="P43"/>
  <c r="Q43"/>
  <c r="R43"/>
  <c r="X43"/>
  <c r="Y43"/>
  <c r="Z43"/>
  <c r="AA43"/>
  <c r="AB43"/>
  <c r="AC43"/>
  <c r="AG43"/>
  <c r="AH43"/>
  <c r="AI43"/>
  <c r="AJ43"/>
  <c r="E46"/>
  <c r="V46"/>
  <c r="AJ47"/>
  <c r="S48"/>
  <c r="AJ48"/>
  <c r="AJ49"/>
  <c r="AJ50"/>
  <c r="S55"/>
  <c r="S56"/>
  <c r="S57"/>
  <c r="BA59"/>
  <c r="AJ60"/>
  <c r="AO60"/>
  <c r="AP60"/>
  <c r="AQ60"/>
  <c r="AR60"/>
  <c r="AS60"/>
  <c r="AT60"/>
  <c r="AU60"/>
  <c r="AV60"/>
  <c r="AW60"/>
  <c r="AX60"/>
  <c r="AY60"/>
  <c r="AZ60"/>
  <c r="BA60"/>
  <c r="BA61"/>
  <c r="AO62"/>
  <c r="AP62"/>
  <c r="AQ62"/>
  <c r="AR62"/>
  <c r="AS62"/>
  <c r="AT62"/>
  <c r="AU62"/>
  <c r="AV62"/>
  <c r="AW62"/>
  <c r="AX62"/>
  <c r="AY62"/>
  <c r="AZ62"/>
  <c r="BA62"/>
  <c r="S63"/>
  <c r="AJ63"/>
  <c r="BA63"/>
  <c r="S64"/>
  <c r="AO64"/>
  <c r="AP64"/>
  <c r="AQ64"/>
  <c r="AR64"/>
  <c r="AS64"/>
  <c r="AT64"/>
  <c r="AU64"/>
  <c r="AV64"/>
  <c r="AW64"/>
  <c r="AX64"/>
  <c r="AY64"/>
  <c r="AZ64"/>
  <c r="BA64"/>
  <c r="S65"/>
  <c r="S66"/>
  <c r="AJ65"/>
  <c r="BA65"/>
  <c r="AO66"/>
  <c r="AP66"/>
  <c r="AQ66"/>
  <c r="AR66"/>
  <c r="AS66"/>
  <c r="AT66"/>
  <c r="AU66"/>
  <c r="AV66"/>
  <c r="AW66"/>
  <c r="AX66"/>
  <c r="AY66"/>
  <c r="AZ66"/>
  <c r="BA66"/>
  <c r="S67"/>
  <c r="D26" i="37"/>
  <c r="S71" i="16"/>
  <c r="S72"/>
  <c r="S73"/>
  <c r="S74"/>
  <c r="G77"/>
  <c r="H77"/>
  <c r="I77"/>
  <c r="J77"/>
  <c r="K77"/>
  <c r="L77"/>
  <c r="M77"/>
  <c r="N77"/>
  <c r="O77"/>
  <c r="P77"/>
  <c r="Q77"/>
  <c r="R77"/>
  <c r="X77"/>
  <c r="Y77"/>
  <c r="Z77"/>
  <c r="AA77"/>
  <c r="AB77"/>
  <c r="AC77"/>
  <c r="AD77"/>
  <c r="AE77"/>
  <c r="AF77"/>
  <c r="AG77"/>
  <c r="AH77"/>
  <c r="AI77"/>
  <c r="G80"/>
  <c r="H80"/>
  <c r="I80"/>
  <c r="J80"/>
  <c r="K80"/>
  <c r="L80"/>
  <c r="M80"/>
  <c r="N80"/>
  <c r="O80"/>
  <c r="P80"/>
  <c r="Q80"/>
  <c r="R80"/>
  <c r="X80"/>
  <c r="Y80"/>
  <c r="Z80"/>
  <c r="AA80"/>
  <c r="AB80"/>
  <c r="AC80"/>
  <c r="AD80"/>
  <c r="AE80"/>
  <c r="AF80"/>
  <c r="AG80"/>
  <c r="AH80"/>
  <c r="AI80"/>
  <c r="G81"/>
  <c r="H81"/>
  <c r="I81"/>
  <c r="J81"/>
  <c r="K81"/>
  <c r="L81"/>
  <c r="M81"/>
  <c r="N81"/>
  <c r="O81"/>
  <c r="P81"/>
  <c r="Q81"/>
  <c r="R81"/>
  <c r="X81"/>
  <c r="Y81"/>
  <c r="Z81"/>
  <c r="AA81"/>
  <c r="AB81"/>
  <c r="AC81"/>
  <c r="AD81"/>
  <c r="AE81"/>
  <c r="AF81"/>
  <c r="AG81"/>
  <c r="AH81"/>
  <c r="AI81"/>
  <c r="G83"/>
  <c r="H83"/>
  <c r="I83"/>
  <c r="J83"/>
  <c r="K83"/>
  <c r="L83"/>
  <c r="M83"/>
  <c r="N83"/>
  <c r="O83"/>
  <c r="P83"/>
  <c r="Q83"/>
  <c r="R83"/>
  <c r="X83"/>
  <c r="Y83"/>
  <c r="Z83"/>
  <c r="AA83"/>
  <c r="AB83"/>
  <c r="AC83"/>
  <c r="AD83"/>
  <c r="AE83"/>
  <c r="AF83"/>
  <c r="AG83"/>
  <c r="AH83"/>
  <c r="AI83"/>
  <c r="AG85"/>
  <c r="AJ85"/>
  <c r="AH85"/>
  <c r="AI85"/>
  <c r="G86"/>
  <c r="H86"/>
  <c r="I86"/>
  <c r="J86"/>
  <c r="K86"/>
  <c r="L86"/>
  <c r="M86"/>
  <c r="N86"/>
  <c r="O86"/>
  <c r="P86"/>
  <c r="Q86"/>
  <c r="R86"/>
  <c r="S86"/>
  <c r="X86"/>
  <c r="Y86"/>
  <c r="Z86"/>
  <c r="AA86"/>
  <c r="AB86"/>
  <c r="AC86"/>
  <c r="AD86"/>
  <c r="AE86"/>
  <c r="AF86"/>
  <c r="AG86"/>
  <c r="AH86"/>
  <c r="AI86"/>
  <c r="AJ86"/>
  <c r="G87"/>
  <c r="H87"/>
  <c r="I87"/>
  <c r="J87"/>
  <c r="K87"/>
  <c r="L87"/>
  <c r="M87"/>
  <c r="N87"/>
  <c r="O87"/>
  <c r="P87"/>
  <c r="Q87"/>
  <c r="R87"/>
  <c r="S87"/>
  <c r="X87"/>
  <c r="Y87"/>
  <c r="Z87"/>
  <c r="AA87"/>
  <c r="AB87"/>
  <c r="AC87"/>
  <c r="AD87"/>
  <c r="AE87"/>
  <c r="AF87"/>
  <c r="AG87"/>
  <c r="AH87"/>
  <c r="AI87"/>
  <c r="AJ87"/>
  <c r="G88"/>
  <c r="H88"/>
  <c r="I88"/>
  <c r="J88"/>
  <c r="K88"/>
  <c r="L88"/>
  <c r="M88"/>
  <c r="N88"/>
  <c r="O88"/>
  <c r="P88"/>
  <c r="Q88"/>
  <c r="R88"/>
  <c r="S88"/>
  <c r="X88"/>
  <c r="Y88"/>
  <c r="Z88"/>
  <c r="AA88"/>
  <c r="AB88"/>
  <c r="AC88"/>
  <c r="AD88"/>
  <c r="AE88"/>
  <c r="AF88"/>
  <c r="AG88"/>
  <c r="AH88"/>
  <c r="AI88"/>
  <c r="AJ88"/>
  <c r="G89"/>
  <c r="H89"/>
  <c r="I89"/>
  <c r="J89"/>
  <c r="K89"/>
  <c r="L89"/>
  <c r="M89"/>
  <c r="N89"/>
  <c r="O89"/>
  <c r="P89"/>
  <c r="Q89"/>
  <c r="R89"/>
  <c r="S89"/>
  <c r="X89"/>
  <c r="Y89"/>
  <c r="Z89"/>
  <c r="AA89"/>
  <c r="AB89"/>
  <c r="AC89"/>
  <c r="AD89"/>
  <c r="AE89"/>
  <c r="AF89"/>
  <c r="AG89"/>
  <c r="AH89"/>
  <c r="AI89"/>
  <c r="AJ89"/>
  <c r="G90"/>
  <c r="H90"/>
  <c r="I90"/>
  <c r="J90"/>
  <c r="K90"/>
  <c r="L90"/>
  <c r="M90"/>
  <c r="N90"/>
  <c r="O90"/>
  <c r="P90"/>
  <c r="Q90"/>
  <c r="R90"/>
  <c r="S90"/>
  <c r="X90"/>
  <c r="Y90"/>
  <c r="Z90"/>
  <c r="AA90"/>
  <c r="AB90"/>
  <c r="AC90"/>
  <c r="AD90"/>
  <c r="AE90"/>
  <c r="AF90"/>
  <c r="AG90"/>
  <c r="AH90"/>
  <c r="AI90"/>
  <c r="AJ90"/>
  <c r="G91"/>
  <c r="H91"/>
  <c r="I91"/>
  <c r="J91"/>
  <c r="K91"/>
  <c r="L91"/>
  <c r="M91"/>
  <c r="N91"/>
  <c r="O91"/>
  <c r="P91"/>
  <c r="Q91"/>
  <c r="R91"/>
  <c r="S91"/>
  <c r="X91"/>
  <c r="Y91"/>
  <c r="Z91"/>
  <c r="AA91"/>
  <c r="AB91"/>
  <c r="AC91"/>
  <c r="AD91"/>
  <c r="AE91"/>
  <c r="AF91"/>
  <c r="AG91"/>
  <c r="AH91"/>
  <c r="AI91"/>
  <c r="AJ91"/>
  <c r="H94"/>
  <c r="J94"/>
  <c r="K94"/>
  <c r="L94"/>
  <c r="M94"/>
  <c r="N94"/>
  <c r="O94"/>
  <c r="P94"/>
  <c r="Q94"/>
  <c r="R94"/>
  <c r="X94"/>
  <c r="Y94"/>
  <c r="Z94"/>
  <c r="AA94"/>
  <c r="AB94"/>
  <c r="AC94"/>
  <c r="AD94"/>
  <c r="AE94"/>
  <c r="AF94"/>
  <c r="AG94"/>
  <c r="AH94"/>
  <c r="AI94"/>
  <c r="L102"/>
  <c r="L103"/>
  <c r="AH105"/>
  <c r="AI105"/>
  <c r="H106"/>
  <c r="G110"/>
  <c r="H110"/>
  <c r="H112"/>
  <c r="I110"/>
  <c r="I112"/>
  <c r="J110"/>
  <c r="J112"/>
  <c r="P110"/>
  <c r="P112"/>
  <c r="Q110"/>
  <c r="Q112"/>
  <c r="R110"/>
  <c r="X110"/>
  <c r="Y110"/>
  <c r="Z110"/>
  <c r="AA110"/>
  <c r="AB110"/>
  <c r="AC110"/>
  <c r="AD110"/>
  <c r="AE110"/>
  <c r="AF110"/>
  <c r="AG110"/>
  <c r="AH110"/>
  <c r="AI110"/>
  <c r="AJ110"/>
  <c r="AO110"/>
  <c r="AP110"/>
  <c r="BA110"/>
  <c r="AQ110"/>
  <c r="AR110"/>
  <c r="AS110"/>
  <c r="AT110"/>
  <c r="AU110"/>
  <c r="AV110"/>
  <c r="AW110"/>
  <c r="AX110"/>
  <c r="AY110"/>
  <c r="AZ110"/>
  <c r="E111"/>
  <c r="AC112"/>
  <c r="H118"/>
  <c r="H119"/>
  <c r="G133"/>
  <c r="H133"/>
  <c r="S133"/>
  <c r="I133"/>
  <c r="J133"/>
  <c r="K133"/>
  <c r="L133"/>
  <c r="M133"/>
  <c r="N133"/>
  <c r="O133"/>
  <c r="P133"/>
  <c r="Q133"/>
  <c r="R133"/>
  <c r="X133"/>
  <c r="Y133"/>
  <c r="AJ133"/>
  <c r="Z133"/>
  <c r="AA133"/>
  <c r="AB133"/>
  <c r="AC133"/>
  <c r="AD133"/>
  <c r="AE133"/>
  <c r="AF133"/>
  <c r="AG133"/>
  <c r="AH133"/>
  <c r="AI133"/>
  <c r="AO133"/>
  <c r="AP133"/>
  <c r="AQ133"/>
  <c r="AR133"/>
  <c r="AS133"/>
  <c r="AT133"/>
  <c r="AU133"/>
  <c r="AV133"/>
  <c r="AW133"/>
  <c r="AX133"/>
  <c r="AY133"/>
  <c r="AZ133"/>
  <c r="BA133"/>
  <c r="G134"/>
  <c r="H134"/>
  <c r="I134"/>
  <c r="J134"/>
  <c r="K134"/>
  <c r="L134"/>
  <c r="M134"/>
  <c r="N134"/>
  <c r="O134"/>
  <c r="P134"/>
  <c r="Q134"/>
  <c r="D140"/>
  <c r="D141"/>
  <c r="D142"/>
  <c r="D143"/>
  <c r="D144"/>
  <c r="H140"/>
  <c r="I141"/>
  <c r="D145"/>
  <c r="D146"/>
  <c r="D147"/>
  <c r="D148"/>
  <c r="D149"/>
  <c r="D150"/>
  <c r="D151"/>
  <c r="D152"/>
  <c r="D153"/>
  <c r="B142"/>
  <c r="H142"/>
  <c r="I142"/>
  <c r="I143"/>
  <c r="I144"/>
  <c r="H145"/>
  <c r="I145"/>
  <c r="I146"/>
  <c r="I147"/>
  <c r="I148"/>
  <c r="I149"/>
  <c r="I150"/>
  <c r="I151"/>
  <c r="D154"/>
  <c r="D155"/>
  <c r="D156"/>
  <c r="H152"/>
  <c r="I153"/>
  <c r="D157"/>
  <c r="D158"/>
  <c r="D159"/>
  <c r="D160"/>
  <c r="D161"/>
  <c r="D162"/>
  <c r="D163"/>
  <c r="D164"/>
  <c r="D165"/>
  <c r="B154"/>
  <c r="H154"/>
  <c r="I154"/>
  <c r="I155"/>
  <c r="I156"/>
  <c r="H157"/>
  <c r="I157"/>
  <c r="I158"/>
  <c r="I159"/>
  <c r="I160"/>
  <c r="I161"/>
  <c r="I162"/>
  <c r="I163"/>
  <c r="B164"/>
  <c r="H164"/>
  <c r="I164"/>
  <c r="I165"/>
  <c r="H166"/>
  <c r="I166"/>
  <c r="I167"/>
  <c r="I168"/>
  <c r="B169"/>
  <c r="H169"/>
  <c r="I169"/>
  <c r="I170"/>
  <c r="I171"/>
  <c r="I172"/>
  <c r="I173"/>
  <c r="I174"/>
  <c r="I175"/>
  <c r="B176"/>
  <c r="H176"/>
  <c r="I176"/>
  <c r="I177"/>
  <c r="I178"/>
  <c r="I179"/>
  <c r="I180"/>
  <c r="B181"/>
  <c r="I181"/>
  <c r="I182"/>
  <c r="D39" i="14"/>
  <c r="B2" i="38"/>
  <c r="E39" i="14"/>
  <c r="C2" i="38"/>
  <c r="G39" i="14"/>
  <c r="E2" i="38"/>
  <c r="E276" s="1"/>
  <c r="H39" i="14"/>
  <c r="F2" i="38"/>
  <c r="F276" s="1"/>
  <c r="F355" s="1"/>
  <c r="I39" i="14"/>
  <c r="G2" i="38"/>
  <c r="G276" s="1"/>
  <c r="J39" i="14"/>
  <c r="H2" i="38"/>
  <c r="H276" s="1"/>
  <c r="K39" i="14"/>
  <c r="I2" i="38"/>
  <c r="I276" s="1"/>
  <c r="K2"/>
  <c r="K276" s="1"/>
  <c r="N39" i="14"/>
  <c r="L2" i="38"/>
  <c r="L276" s="1"/>
  <c r="O39" i="14"/>
  <c r="M2" i="38"/>
  <c r="D73" i="14"/>
  <c r="B4" i="38"/>
  <c r="E73" i="14"/>
  <c r="C4" i="38"/>
  <c r="F73" i="14"/>
  <c r="D4" i="38"/>
  <c r="H73" i="14"/>
  <c r="F4" i="38"/>
  <c r="L73" i="14"/>
  <c r="D44"/>
  <c r="B31" i="38"/>
  <c r="B277" s="1"/>
  <c r="E44" i="14"/>
  <c r="C31" i="38"/>
  <c r="C277" s="1"/>
  <c r="G44" i="14"/>
  <c r="E31" i="38"/>
  <c r="E277" s="1"/>
  <c r="I44" i="14"/>
  <c r="G31" i="38"/>
  <c r="G277" s="1"/>
  <c r="J44" i="14"/>
  <c r="H31" i="38"/>
  <c r="H277" s="1"/>
  <c r="H356" s="1"/>
  <c r="K44" i="14"/>
  <c r="I31" i="38"/>
  <c r="I277" s="1"/>
  <c r="I356" s="1"/>
  <c r="N44" i="14"/>
  <c r="L31" i="38"/>
  <c r="L277" s="1"/>
  <c r="L356" s="1"/>
  <c r="O44" i="14"/>
  <c r="M31" i="38"/>
  <c r="M277" s="1"/>
  <c r="D77" i="14"/>
  <c r="B33" i="38"/>
  <c r="E77" i="14"/>
  <c r="C33" i="38"/>
  <c r="F77" i="14"/>
  <c r="D33" i="38"/>
  <c r="H77" i="14"/>
  <c r="F33" i="38"/>
  <c r="L77" i="14"/>
  <c r="B61" i="38"/>
  <c r="B278" s="1"/>
  <c r="B357" s="1"/>
  <c r="C61"/>
  <c r="E61"/>
  <c r="F61"/>
  <c r="G61"/>
  <c r="H61"/>
  <c r="I61"/>
  <c r="K61"/>
  <c r="L61"/>
  <c r="L278" s="1"/>
  <c r="L357" s="1"/>
  <c r="M61"/>
  <c r="D81" i="14"/>
  <c r="B63" i="38"/>
  <c r="E81" i="14"/>
  <c r="C63" i="38"/>
  <c r="F81" i="14"/>
  <c r="D63" i="38"/>
  <c r="H81" i="14"/>
  <c r="F63" i="38"/>
  <c r="L81" i="14"/>
  <c r="B91" i="38"/>
  <c r="C91"/>
  <c r="E91"/>
  <c r="G91"/>
  <c r="G279" s="1"/>
  <c r="G358" s="1"/>
  <c r="H91"/>
  <c r="I91"/>
  <c r="I279" s="1"/>
  <c r="L91"/>
  <c r="M91"/>
  <c r="D85" i="14"/>
  <c r="B93" i="38"/>
  <c r="E85" i="14"/>
  <c r="C93" i="38"/>
  <c r="F85" i="14"/>
  <c r="D93" i="38"/>
  <c r="H85" i="14"/>
  <c r="F93" i="38"/>
  <c r="L85" i="14"/>
  <c r="B121" i="38"/>
  <c r="C121"/>
  <c r="M121"/>
  <c r="L87" i="14"/>
  <c r="B151" i="38"/>
  <c r="B280" s="1"/>
  <c r="C151"/>
  <c r="D151"/>
  <c r="E151"/>
  <c r="F151"/>
  <c r="G151"/>
  <c r="H151"/>
  <c r="I151"/>
  <c r="J151"/>
  <c r="K151"/>
  <c r="L151"/>
  <c r="L280" s="1"/>
  <c r="M151"/>
  <c r="D93" i="14"/>
  <c r="B153" i="38"/>
  <c r="E93" i="14"/>
  <c r="C153" i="38"/>
  <c r="F93" i="14"/>
  <c r="D153" i="38"/>
  <c r="H93" i="14"/>
  <c r="F153" i="38"/>
  <c r="L93" i="14"/>
  <c r="B181" i="38"/>
  <c r="C181"/>
  <c r="D181"/>
  <c r="E181"/>
  <c r="E281" s="1"/>
  <c r="F181"/>
  <c r="G181"/>
  <c r="G281" s="1"/>
  <c r="G360" s="1"/>
  <c r="G363" s="1"/>
  <c r="H181"/>
  <c r="I181"/>
  <c r="I281" s="1"/>
  <c r="I360" s="1"/>
  <c r="J181"/>
  <c r="K181"/>
  <c r="L181"/>
  <c r="M181"/>
  <c r="D97" i="14"/>
  <c r="B183" i="38"/>
  <c r="E97" i="14"/>
  <c r="C183" i="38"/>
  <c r="F97" i="14"/>
  <c r="D183" i="38"/>
  <c r="H97" i="14"/>
  <c r="F183" i="38"/>
  <c r="L97" i="14"/>
  <c r="L101"/>
  <c r="L170"/>
  <c r="L171"/>
  <c r="L99"/>
  <c r="D101"/>
  <c r="B213" i="38"/>
  <c r="E101" i="14"/>
  <c r="C213" i="38"/>
  <c r="F101" i="14"/>
  <c r="D213" i="38"/>
  <c r="H101" i="14"/>
  <c r="F213" i="38"/>
  <c r="M103" i="14"/>
  <c r="B276" i="38"/>
  <c r="C276"/>
  <c r="C355" s="1"/>
  <c r="M276"/>
  <c r="D280"/>
  <c r="D284" s="1"/>
  <c r="D281"/>
  <c r="E278"/>
  <c r="E357" s="1"/>
  <c r="E279"/>
  <c r="E280"/>
  <c r="F278"/>
  <c r="F280"/>
  <c r="F359" s="1"/>
  <c r="F281"/>
  <c r="G278"/>
  <c r="G357" s="1"/>
  <c r="G280"/>
  <c r="H278"/>
  <c r="H279"/>
  <c r="H280"/>
  <c r="H359" s="1"/>
  <c r="H281"/>
  <c r="I278"/>
  <c r="I357" s="1"/>
  <c r="I280"/>
  <c r="J280"/>
  <c r="J359" s="1"/>
  <c r="J363" s="1"/>
  <c r="J281"/>
  <c r="K278"/>
  <c r="K357" s="1"/>
  <c r="K362" s="1"/>
  <c r="K280"/>
  <c r="K281"/>
  <c r="K284" s="1"/>
  <c r="L279"/>
  <c r="L358" s="1"/>
  <c r="L281"/>
  <c r="B279"/>
  <c r="B358" s="1"/>
  <c r="B281"/>
  <c r="B360" s="1"/>
  <c r="C278"/>
  <c r="C279"/>
  <c r="C358" s="1"/>
  <c r="C280"/>
  <c r="C281"/>
  <c r="C360" s="1"/>
  <c r="M278"/>
  <c r="M279"/>
  <c r="M280"/>
  <c r="M281"/>
  <c r="M284" s="1"/>
  <c r="H284"/>
  <c r="B355"/>
  <c r="M355"/>
  <c r="C357"/>
  <c r="F357"/>
  <c r="H357"/>
  <c r="M357"/>
  <c r="E358"/>
  <c r="H358"/>
  <c r="M358"/>
  <c r="C359"/>
  <c r="E359"/>
  <c r="G359"/>
  <c r="I359"/>
  <c r="K359"/>
  <c r="M359"/>
  <c r="D360"/>
  <c r="F360"/>
  <c r="H360"/>
  <c r="J360"/>
  <c r="L360"/>
  <c r="N366"/>
  <c r="B368"/>
  <c r="C368"/>
  <c r="D368"/>
  <c r="E368"/>
  <c r="F368"/>
  <c r="G368"/>
  <c r="H368"/>
  <c r="I368"/>
  <c r="J368"/>
  <c r="K368"/>
  <c r="L368"/>
  <c r="M368"/>
  <c r="P2" i="14"/>
  <c r="V2"/>
  <c r="W2"/>
  <c r="X2"/>
  <c r="Y2"/>
  <c r="Z2"/>
  <c r="AA2"/>
  <c r="AB2"/>
  <c r="AC2"/>
  <c r="AD2"/>
  <c r="AL2"/>
  <c r="AL37"/>
  <c r="AM2"/>
  <c r="AM37"/>
  <c r="AN2"/>
  <c r="AN37"/>
  <c r="AO2"/>
  <c r="AO37"/>
  <c r="AP2"/>
  <c r="AP37"/>
  <c r="AQ2"/>
  <c r="AQ37"/>
  <c r="AR2"/>
  <c r="AR37"/>
  <c r="AS2"/>
  <c r="AS37"/>
  <c r="AT2"/>
  <c r="AT37"/>
  <c r="F4"/>
  <c r="G4"/>
  <c r="H4"/>
  <c r="I4"/>
  <c r="J4"/>
  <c r="K4"/>
  <c r="L4"/>
  <c r="M4"/>
  <c r="N4"/>
  <c r="V4"/>
  <c r="AF4"/>
  <c r="W4"/>
  <c r="X4"/>
  <c r="Y4"/>
  <c r="Z4"/>
  <c r="AA4"/>
  <c r="AB4"/>
  <c r="AC4"/>
  <c r="AD4"/>
  <c r="AL4"/>
  <c r="AV4"/>
  <c r="AM4"/>
  <c r="AN4"/>
  <c r="AO4"/>
  <c r="AP4"/>
  <c r="AQ4"/>
  <c r="AR4"/>
  <c r="AS4"/>
  <c r="AT4"/>
  <c r="F5"/>
  <c r="G5"/>
  <c r="H5"/>
  <c r="I5"/>
  <c r="J5"/>
  <c r="K5"/>
  <c r="L5"/>
  <c r="M5"/>
  <c r="N5"/>
  <c r="V5"/>
  <c r="W5"/>
  <c r="X5"/>
  <c r="Y5"/>
  <c r="Z5"/>
  <c r="AA5"/>
  <c r="AB5"/>
  <c r="AC5"/>
  <c r="AD5"/>
  <c r="AL5"/>
  <c r="AM5"/>
  <c r="AN5"/>
  <c r="AO5"/>
  <c r="AP5"/>
  <c r="AQ5"/>
  <c r="AR5"/>
  <c r="AS5"/>
  <c r="AT5"/>
  <c r="F6"/>
  <c r="G6"/>
  <c r="V6"/>
  <c r="W6"/>
  <c r="AL6"/>
  <c r="AM6"/>
  <c r="AN6"/>
  <c r="AO6"/>
  <c r="AP6"/>
  <c r="AQ6"/>
  <c r="AR6"/>
  <c r="AS6"/>
  <c r="AT6"/>
  <c r="F7"/>
  <c r="G7"/>
  <c r="V7"/>
  <c r="W7"/>
  <c r="X7"/>
  <c r="AL7"/>
  <c r="AM7"/>
  <c r="F8"/>
  <c r="V8"/>
  <c r="AL8"/>
  <c r="F9"/>
  <c r="V9"/>
  <c r="AL9"/>
  <c r="A52"/>
  <c r="A23"/>
  <c r="A27"/>
  <c r="B52"/>
  <c r="B23"/>
  <c r="A16"/>
  <c r="B63"/>
  <c r="B25"/>
  <c r="B16"/>
  <c r="Q52"/>
  <c r="Q23"/>
  <c r="R52"/>
  <c r="R23"/>
  <c r="AG39"/>
  <c r="AG46"/>
  <c r="AG48"/>
  <c r="AH39"/>
  <c r="AH46"/>
  <c r="AH48"/>
  <c r="Q56"/>
  <c r="Q60"/>
  <c r="Q64"/>
  <c r="Q25"/>
  <c r="Q27"/>
  <c r="Q26"/>
  <c r="R56"/>
  <c r="R60"/>
  <c r="R64"/>
  <c r="R25"/>
  <c r="R27"/>
  <c r="AG56"/>
  <c r="AG60"/>
  <c r="AG64"/>
  <c r="AG25"/>
  <c r="AH56"/>
  <c r="AH60"/>
  <c r="AH64"/>
  <c r="AH25"/>
  <c r="A29"/>
  <c r="P29"/>
  <c r="P36"/>
  <c r="T39"/>
  <c r="AE39"/>
  <c r="AK39"/>
  <c r="AU39"/>
  <c r="D40"/>
  <c r="E40"/>
  <c r="T40"/>
  <c r="D41"/>
  <c r="E41"/>
  <c r="G41"/>
  <c r="H41"/>
  <c r="I41"/>
  <c r="J41"/>
  <c r="K41"/>
  <c r="M41"/>
  <c r="N41"/>
  <c r="O41"/>
  <c r="U44"/>
  <c r="AE44"/>
  <c r="D45"/>
  <c r="E45"/>
  <c r="D47"/>
  <c r="E47"/>
  <c r="T47"/>
  <c r="U47"/>
  <c r="AJ47"/>
  <c r="AK47"/>
  <c r="D49"/>
  <c r="E49"/>
  <c r="T49"/>
  <c r="U49"/>
  <c r="AJ49"/>
  <c r="AK49"/>
  <c r="A51"/>
  <c r="B51"/>
  <c r="Q51"/>
  <c r="R51"/>
  <c r="AG51"/>
  <c r="AH51"/>
  <c r="A66"/>
  <c r="A53"/>
  <c r="B66"/>
  <c r="B53"/>
  <c r="D53"/>
  <c r="E53"/>
  <c r="P54"/>
  <c r="N151" i="38"/>
  <c r="AF54" i="14"/>
  <c r="AV54"/>
  <c r="D55"/>
  <c r="E55"/>
  <c r="F55"/>
  <c r="G55"/>
  <c r="H55"/>
  <c r="I55"/>
  <c r="J55"/>
  <c r="K55"/>
  <c r="L55"/>
  <c r="M55"/>
  <c r="N55"/>
  <c r="O55"/>
  <c r="T55"/>
  <c r="U55"/>
  <c r="V55"/>
  <c r="W55"/>
  <c r="X55"/>
  <c r="Y55"/>
  <c r="Z55"/>
  <c r="AA55"/>
  <c r="AB55"/>
  <c r="AC55"/>
  <c r="AD55"/>
  <c r="AE55"/>
  <c r="AJ55"/>
  <c r="AK55"/>
  <c r="AL55"/>
  <c r="AM55"/>
  <c r="AN55"/>
  <c r="AO55"/>
  <c r="AP55"/>
  <c r="AQ55"/>
  <c r="AR55"/>
  <c r="AS55"/>
  <c r="AT55"/>
  <c r="AU55"/>
  <c r="D56"/>
  <c r="E56"/>
  <c r="F56"/>
  <c r="G56"/>
  <c r="H56"/>
  <c r="I56"/>
  <c r="J56"/>
  <c r="K56"/>
  <c r="L56"/>
  <c r="M56"/>
  <c r="N56"/>
  <c r="O56"/>
  <c r="P56"/>
  <c r="T56"/>
  <c r="U56"/>
  <c r="V56"/>
  <c r="W56"/>
  <c r="X56"/>
  <c r="Y56"/>
  <c r="Z56"/>
  <c r="AA56"/>
  <c r="AF56"/>
  <c r="AB56"/>
  <c r="AC56"/>
  <c r="AD56"/>
  <c r="AE56"/>
  <c r="AJ56"/>
  <c r="AK56"/>
  <c r="AL56"/>
  <c r="AM56"/>
  <c r="AN56"/>
  <c r="AO56"/>
  <c r="AP56"/>
  <c r="AQ56"/>
  <c r="AR56"/>
  <c r="AS56"/>
  <c r="AT56"/>
  <c r="AU56"/>
  <c r="AV56"/>
  <c r="D57"/>
  <c r="E57"/>
  <c r="F57"/>
  <c r="G57"/>
  <c r="H57"/>
  <c r="I57"/>
  <c r="J57"/>
  <c r="K57"/>
  <c r="L57"/>
  <c r="M57"/>
  <c r="N57"/>
  <c r="O57"/>
  <c r="T57"/>
  <c r="U57"/>
  <c r="V57"/>
  <c r="W57"/>
  <c r="X57"/>
  <c r="Y57"/>
  <c r="Z57"/>
  <c r="AA57"/>
  <c r="AB57"/>
  <c r="AC57"/>
  <c r="AD57"/>
  <c r="AE57"/>
  <c r="AJ57"/>
  <c r="AK57"/>
  <c r="AL57"/>
  <c r="AM57"/>
  <c r="AN57"/>
  <c r="AO57"/>
  <c r="AP57"/>
  <c r="AQ57"/>
  <c r="AR57"/>
  <c r="AS57"/>
  <c r="AT57"/>
  <c r="AU57"/>
  <c r="P58"/>
  <c r="N181" i="38"/>
  <c r="AF58" i="14"/>
  <c r="AV58"/>
  <c r="D59"/>
  <c r="E59"/>
  <c r="F59"/>
  <c r="G59"/>
  <c r="H59"/>
  <c r="I59"/>
  <c r="J59"/>
  <c r="K59"/>
  <c r="L59"/>
  <c r="M59"/>
  <c r="N59"/>
  <c r="O59"/>
  <c r="T59"/>
  <c r="U59"/>
  <c r="V59"/>
  <c r="W59"/>
  <c r="X59"/>
  <c r="Y59"/>
  <c r="Z59"/>
  <c r="AA59"/>
  <c r="AB59"/>
  <c r="AC59"/>
  <c r="AD59"/>
  <c r="AE59"/>
  <c r="AJ59"/>
  <c r="AK59"/>
  <c r="AL59"/>
  <c r="AM59"/>
  <c r="AN59"/>
  <c r="AO59"/>
  <c r="AP59"/>
  <c r="AQ59"/>
  <c r="AR59"/>
  <c r="AS59"/>
  <c r="AT59"/>
  <c r="AU59"/>
  <c r="D60"/>
  <c r="E60"/>
  <c r="F60"/>
  <c r="G60"/>
  <c r="H60"/>
  <c r="I60"/>
  <c r="J60"/>
  <c r="K60"/>
  <c r="L60"/>
  <c r="M60"/>
  <c r="N60"/>
  <c r="O60"/>
  <c r="T60"/>
  <c r="U60"/>
  <c r="V60"/>
  <c r="W60"/>
  <c r="X60"/>
  <c r="Y60"/>
  <c r="Z60"/>
  <c r="AA60"/>
  <c r="AB60"/>
  <c r="AC60"/>
  <c r="AD60"/>
  <c r="AE60"/>
  <c r="AF60"/>
  <c r="AJ60"/>
  <c r="AK60"/>
  <c r="AL60"/>
  <c r="AM60"/>
  <c r="AN60"/>
  <c r="AO60"/>
  <c r="AP60"/>
  <c r="AQ60"/>
  <c r="AR60"/>
  <c r="AS60"/>
  <c r="AV60"/>
  <c r="AT60"/>
  <c r="AU60"/>
  <c r="D61"/>
  <c r="E61"/>
  <c r="F61"/>
  <c r="G61"/>
  <c r="H61"/>
  <c r="I61"/>
  <c r="J61"/>
  <c r="K61"/>
  <c r="L61"/>
  <c r="M61"/>
  <c r="N61"/>
  <c r="O61"/>
  <c r="T61"/>
  <c r="U61"/>
  <c r="V61"/>
  <c r="W61"/>
  <c r="X61"/>
  <c r="Y61"/>
  <c r="Z61"/>
  <c r="AA61"/>
  <c r="AB61"/>
  <c r="AC61"/>
  <c r="AD61"/>
  <c r="AE61"/>
  <c r="AJ61"/>
  <c r="AK61"/>
  <c r="AL61"/>
  <c r="AM61"/>
  <c r="AN61"/>
  <c r="AO61"/>
  <c r="AP61"/>
  <c r="AQ61"/>
  <c r="AR61"/>
  <c r="AS61"/>
  <c r="AT61"/>
  <c r="AU61"/>
  <c r="D62"/>
  <c r="E62"/>
  <c r="F62"/>
  <c r="G62"/>
  <c r="H62"/>
  <c r="I62"/>
  <c r="J62"/>
  <c r="K62"/>
  <c r="L62"/>
  <c r="M62"/>
  <c r="N62"/>
  <c r="O62"/>
  <c r="P62"/>
  <c r="N211" i="38"/>
  <c r="T62" i="14"/>
  <c r="U62"/>
  <c r="V62"/>
  <c r="W62"/>
  <c r="X62"/>
  <c r="Y62"/>
  <c r="Z62"/>
  <c r="AA62"/>
  <c r="AB62"/>
  <c r="AC62"/>
  <c r="AD62"/>
  <c r="AE62"/>
  <c r="AJ62"/>
  <c r="AK62"/>
  <c r="AL62"/>
  <c r="AM62"/>
  <c r="AN62"/>
  <c r="AO62"/>
  <c r="AP62"/>
  <c r="AQ62"/>
  <c r="AR62"/>
  <c r="AS62"/>
  <c r="AT62"/>
  <c r="AU62"/>
  <c r="AV62"/>
  <c r="D63"/>
  <c r="E63"/>
  <c r="F63"/>
  <c r="G63"/>
  <c r="H63"/>
  <c r="I63"/>
  <c r="J63"/>
  <c r="K63"/>
  <c r="L63"/>
  <c r="M63"/>
  <c r="N63"/>
  <c r="O63"/>
  <c r="F64"/>
  <c r="G64"/>
  <c r="H64"/>
  <c r="I64"/>
  <c r="J64"/>
  <c r="K64"/>
  <c r="L64"/>
  <c r="M64"/>
  <c r="N64"/>
  <c r="D64"/>
  <c r="P64"/>
  <c r="P63"/>
  <c r="E64"/>
  <c r="O64"/>
  <c r="T63"/>
  <c r="U63"/>
  <c r="V63"/>
  <c r="W63"/>
  <c r="X63"/>
  <c r="Y63"/>
  <c r="Z63"/>
  <c r="AA63"/>
  <c r="AB63"/>
  <c r="AC63"/>
  <c r="AD63"/>
  <c r="AE63"/>
  <c r="AJ63"/>
  <c r="AK63"/>
  <c r="AL63"/>
  <c r="AM63"/>
  <c r="AN63"/>
  <c r="AO63"/>
  <c r="AP63"/>
  <c r="AQ63"/>
  <c r="AR63"/>
  <c r="AS63"/>
  <c r="AT63"/>
  <c r="AU63"/>
  <c r="T64"/>
  <c r="U64"/>
  <c r="V64"/>
  <c r="W64"/>
  <c r="AF64"/>
  <c r="X64"/>
  <c r="Y64"/>
  <c r="Z64"/>
  <c r="AA64"/>
  <c r="AB64"/>
  <c r="AC64"/>
  <c r="AD64"/>
  <c r="AE64"/>
  <c r="AJ64"/>
  <c r="AK64"/>
  <c r="AL64"/>
  <c r="AM64"/>
  <c r="AN64"/>
  <c r="AO64"/>
  <c r="AP64"/>
  <c r="AQ64"/>
  <c r="AR64"/>
  <c r="AS64"/>
  <c r="AT64"/>
  <c r="AU64"/>
  <c r="AV64"/>
  <c r="A65"/>
  <c r="B65"/>
  <c r="D65"/>
  <c r="E65"/>
  <c r="F65"/>
  <c r="G65"/>
  <c r="H65"/>
  <c r="I65"/>
  <c r="J65"/>
  <c r="K65"/>
  <c r="L65"/>
  <c r="M65"/>
  <c r="N65"/>
  <c r="O65"/>
  <c r="T65"/>
  <c r="U65"/>
  <c r="V65"/>
  <c r="W65"/>
  <c r="X65"/>
  <c r="Y65"/>
  <c r="Z65"/>
  <c r="AA65"/>
  <c r="AB65"/>
  <c r="AC65"/>
  <c r="AD65"/>
  <c r="AE65"/>
  <c r="AJ65"/>
  <c r="AK65"/>
  <c r="AL65"/>
  <c r="AM65"/>
  <c r="AN65"/>
  <c r="AO65"/>
  <c r="AP65"/>
  <c r="AQ65"/>
  <c r="AR65"/>
  <c r="AS65"/>
  <c r="AT65"/>
  <c r="AU65"/>
  <c r="AE66"/>
  <c r="D68"/>
  <c r="E68"/>
  <c r="F68"/>
  <c r="G68"/>
  <c r="H68"/>
  <c r="I68"/>
  <c r="J68"/>
  <c r="K68"/>
  <c r="L68"/>
  <c r="M68"/>
  <c r="N68"/>
  <c r="O68"/>
  <c r="T68"/>
  <c r="U68"/>
  <c r="V68"/>
  <c r="W68"/>
  <c r="X68"/>
  <c r="Y68"/>
  <c r="Z68"/>
  <c r="AA68"/>
  <c r="AB68"/>
  <c r="AC68"/>
  <c r="AD68"/>
  <c r="AE68"/>
  <c r="AJ68"/>
  <c r="AK68"/>
  <c r="AL68"/>
  <c r="AM68"/>
  <c r="AN68"/>
  <c r="AO68"/>
  <c r="AP68"/>
  <c r="AQ68"/>
  <c r="AR68"/>
  <c r="AS68"/>
  <c r="AT68"/>
  <c r="AU68"/>
  <c r="P71"/>
  <c r="D72"/>
  <c r="E72"/>
  <c r="F72"/>
  <c r="G72"/>
  <c r="H72"/>
  <c r="I72"/>
  <c r="J72"/>
  <c r="K72"/>
  <c r="L72"/>
  <c r="D74"/>
  <c r="E74"/>
  <c r="F74"/>
  <c r="P75"/>
  <c r="D76"/>
  <c r="E76"/>
  <c r="F76"/>
  <c r="G76"/>
  <c r="H76"/>
  <c r="I76"/>
  <c r="J76"/>
  <c r="K76"/>
  <c r="L76"/>
  <c r="M76"/>
  <c r="P77"/>
  <c r="D78"/>
  <c r="E78"/>
  <c r="F78"/>
  <c r="G78"/>
  <c r="H78"/>
  <c r="I78"/>
  <c r="J78"/>
  <c r="K78"/>
  <c r="L78"/>
  <c r="M78"/>
  <c r="P79"/>
  <c r="D80"/>
  <c r="E80"/>
  <c r="F80"/>
  <c r="G80"/>
  <c r="H80"/>
  <c r="I80"/>
  <c r="J80"/>
  <c r="K80"/>
  <c r="L80"/>
  <c r="M80"/>
  <c r="D82"/>
  <c r="E82"/>
  <c r="F82"/>
  <c r="P83"/>
  <c r="D84"/>
  <c r="E84"/>
  <c r="F84"/>
  <c r="G84"/>
  <c r="H84"/>
  <c r="I84"/>
  <c r="J84"/>
  <c r="K84"/>
  <c r="L84"/>
  <c r="M84"/>
  <c r="P85"/>
  <c r="D86"/>
  <c r="E86"/>
  <c r="F86"/>
  <c r="G86"/>
  <c r="H86"/>
  <c r="I86"/>
  <c r="J86"/>
  <c r="K86"/>
  <c r="L86"/>
  <c r="M86"/>
  <c r="D87"/>
  <c r="E87"/>
  <c r="F87"/>
  <c r="G87"/>
  <c r="H87"/>
  <c r="K87"/>
  <c r="D88"/>
  <c r="E88"/>
  <c r="F88"/>
  <c r="G88"/>
  <c r="H88"/>
  <c r="I88"/>
  <c r="J88"/>
  <c r="K88"/>
  <c r="L88"/>
  <c r="M88"/>
  <c r="P91"/>
  <c r="D92"/>
  <c r="E92"/>
  <c r="F92"/>
  <c r="G92"/>
  <c r="H92"/>
  <c r="I92"/>
  <c r="J92"/>
  <c r="K92"/>
  <c r="L92"/>
  <c r="M92"/>
  <c r="P93"/>
  <c r="D94"/>
  <c r="E94"/>
  <c r="F94"/>
  <c r="G94"/>
  <c r="H94"/>
  <c r="I94"/>
  <c r="J94"/>
  <c r="K94"/>
  <c r="L94"/>
  <c r="M94"/>
  <c r="P95"/>
  <c r="D96"/>
  <c r="E96"/>
  <c r="F96"/>
  <c r="G96"/>
  <c r="H96"/>
  <c r="I96"/>
  <c r="J96"/>
  <c r="K96"/>
  <c r="L96"/>
  <c r="M96"/>
  <c r="D98"/>
  <c r="E98"/>
  <c r="F98"/>
  <c r="D99"/>
  <c r="E99"/>
  <c r="F99"/>
  <c r="G99"/>
  <c r="H99"/>
  <c r="K99"/>
  <c r="D100"/>
  <c r="E100"/>
  <c r="F100"/>
  <c r="G100"/>
  <c r="H100"/>
  <c r="I100"/>
  <c r="J100"/>
  <c r="K100"/>
  <c r="L100"/>
  <c r="M100"/>
  <c r="D102"/>
  <c r="E102"/>
  <c r="F102"/>
  <c r="D103"/>
  <c r="B242" i="38"/>
  <c r="E103" i="14"/>
  <c r="C242" i="38"/>
  <c r="F103" i="14"/>
  <c r="D242" i="38"/>
  <c r="G103" i="14"/>
  <c r="E242" i="38"/>
  <c r="H103" i="14"/>
  <c r="F242" i="38"/>
  <c r="I103" i="14"/>
  <c r="G242" i="38"/>
  <c r="J103" i="14"/>
  <c r="H242" i="38"/>
  <c r="K103" i="14"/>
  <c r="I242" i="38"/>
  <c r="D104" i="14"/>
  <c r="E104"/>
  <c r="F104"/>
  <c r="G104"/>
  <c r="H104"/>
  <c r="I104"/>
  <c r="J104"/>
  <c r="K104"/>
  <c r="D110"/>
  <c r="E110"/>
  <c r="G110"/>
  <c r="G111"/>
  <c r="H110"/>
  <c r="I110"/>
  <c r="I111"/>
  <c r="J110"/>
  <c r="K110"/>
  <c r="K111"/>
  <c r="D111"/>
  <c r="E111"/>
  <c r="H111"/>
  <c r="J111"/>
  <c r="D112"/>
  <c r="E112"/>
  <c r="D113"/>
  <c r="D114"/>
  <c r="E114"/>
  <c r="H114"/>
  <c r="H115"/>
  <c r="I114"/>
  <c r="I115"/>
  <c r="D115"/>
  <c r="E115"/>
  <c r="D116"/>
  <c r="E116"/>
  <c r="D117"/>
  <c r="E117"/>
  <c r="D118"/>
  <c r="E118"/>
  <c r="G118"/>
  <c r="I118"/>
  <c r="I119"/>
  <c r="J118"/>
  <c r="J119"/>
  <c r="K118"/>
  <c r="K119"/>
  <c r="D119"/>
  <c r="E119"/>
  <c r="G119"/>
  <c r="D120"/>
  <c r="E120"/>
  <c r="D121"/>
  <c r="D122"/>
  <c r="E122"/>
  <c r="G122"/>
  <c r="I122"/>
  <c r="J122"/>
  <c r="K122"/>
  <c r="D123"/>
  <c r="E123"/>
  <c r="G123"/>
  <c r="I123"/>
  <c r="J123"/>
  <c r="K123"/>
  <c r="D124"/>
  <c r="E124"/>
  <c r="G124"/>
  <c r="I124"/>
  <c r="J124"/>
  <c r="K124"/>
  <c r="D125"/>
  <c r="D126"/>
  <c r="E126"/>
  <c r="G126"/>
  <c r="G127"/>
  <c r="H126"/>
  <c r="H127"/>
  <c r="I126"/>
  <c r="J126"/>
  <c r="J127"/>
  <c r="K126"/>
  <c r="K127"/>
  <c r="M126"/>
  <c r="D127"/>
  <c r="E127"/>
  <c r="I127"/>
  <c r="M127"/>
  <c r="D128"/>
  <c r="E128"/>
  <c r="D129"/>
  <c r="D130"/>
  <c r="E130"/>
  <c r="H130"/>
  <c r="M130"/>
  <c r="D131"/>
  <c r="E131"/>
  <c r="H131"/>
  <c r="M131"/>
  <c r="D132"/>
  <c r="E132"/>
  <c r="D133"/>
  <c r="D134"/>
  <c r="E134"/>
  <c r="G134"/>
  <c r="I134"/>
  <c r="J134"/>
  <c r="K134"/>
  <c r="D135"/>
  <c r="E135"/>
  <c r="G135"/>
  <c r="I135"/>
  <c r="J135"/>
  <c r="K135"/>
  <c r="D136"/>
  <c r="E136"/>
  <c r="D137"/>
  <c r="D138"/>
  <c r="E138"/>
  <c r="G138"/>
  <c r="I138"/>
  <c r="J138"/>
  <c r="K138"/>
  <c r="D139"/>
  <c r="E139"/>
  <c r="G139"/>
  <c r="I139"/>
  <c r="J139"/>
  <c r="K139"/>
  <c r="D140"/>
  <c r="E140"/>
  <c r="D141"/>
  <c r="D142"/>
  <c r="E142"/>
  <c r="D143"/>
  <c r="E143"/>
  <c r="D144"/>
  <c r="E144"/>
  <c r="D145"/>
  <c r="D150"/>
  <c r="E150"/>
  <c r="F150"/>
  <c r="G150"/>
  <c r="H150"/>
  <c r="I150"/>
  <c r="J150"/>
  <c r="K150"/>
  <c r="L150"/>
  <c r="M150"/>
  <c r="D151"/>
  <c r="E151"/>
  <c r="F151"/>
  <c r="G151"/>
  <c r="H151"/>
  <c r="I151"/>
  <c r="J151"/>
  <c r="K151"/>
  <c r="L151"/>
  <c r="M151"/>
  <c r="D152"/>
  <c r="E152"/>
  <c r="D153"/>
  <c r="D154"/>
  <c r="E154"/>
  <c r="F154"/>
  <c r="G154"/>
  <c r="H154"/>
  <c r="I154"/>
  <c r="J154"/>
  <c r="K154"/>
  <c r="L154"/>
  <c r="M154"/>
  <c r="D155"/>
  <c r="E155"/>
  <c r="F155"/>
  <c r="G155"/>
  <c r="H155"/>
  <c r="I155"/>
  <c r="J155"/>
  <c r="K155"/>
  <c r="L155"/>
  <c r="M155"/>
  <c r="D156"/>
  <c r="E156"/>
  <c r="D157"/>
  <c r="D158"/>
  <c r="E158"/>
  <c r="F158"/>
  <c r="G158"/>
  <c r="H158"/>
  <c r="I158"/>
  <c r="J158"/>
  <c r="K158"/>
  <c r="L158"/>
  <c r="M158"/>
  <c r="D159"/>
  <c r="E159"/>
  <c r="F159"/>
  <c r="G159"/>
  <c r="H159"/>
  <c r="I159"/>
  <c r="J159"/>
  <c r="K159"/>
  <c r="L159"/>
  <c r="M159"/>
  <c r="D160"/>
  <c r="E160"/>
  <c r="D161"/>
  <c r="D162"/>
  <c r="E162"/>
  <c r="F162"/>
  <c r="H162"/>
  <c r="H163"/>
  <c r="K162"/>
  <c r="L162"/>
  <c r="L163"/>
  <c r="M162"/>
  <c r="M163" s="1"/>
  <c r="D163"/>
  <c r="E163"/>
  <c r="F163"/>
  <c r="K163"/>
  <c r="D164"/>
  <c r="E164"/>
  <c r="D165"/>
  <c r="D166"/>
  <c r="E166"/>
  <c r="F166"/>
  <c r="G166"/>
  <c r="H166"/>
  <c r="I166"/>
  <c r="J166"/>
  <c r="K166"/>
  <c r="L166"/>
  <c r="M166"/>
  <c r="D167"/>
  <c r="E167"/>
  <c r="F167"/>
  <c r="G167"/>
  <c r="H167"/>
  <c r="I167"/>
  <c r="J167"/>
  <c r="K167"/>
  <c r="L167"/>
  <c r="M167"/>
  <c r="D168"/>
  <c r="E168"/>
  <c r="D169"/>
  <c r="D170"/>
  <c r="E170"/>
  <c r="F170"/>
  <c r="H170"/>
  <c r="H171"/>
  <c r="D171"/>
  <c r="E171"/>
  <c r="F171"/>
  <c r="D172"/>
  <c r="E172"/>
  <c r="D173"/>
  <c r="F23" i="10"/>
  <c r="G23"/>
  <c r="H23"/>
  <c r="I23"/>
  <c r="J23"/>
  <c r="N25"/>
  <c r="B26"/>
  <c r="C26"/>
  <c r="D26"/>
  <c r="E26"/>
  <c r="B27"/>
  <c r="C27"/>
  <c r="D27"/>
  <c r="E27"/>
  <c r="F27"/>
  <c r="G27"/>
  <c r="H27"/>
  <c r="I27"/>
  <c r="J27"/>
  <c r="B28"/>
  <c r="C28"/>
  <c r="D28"/>
  <c r="E28"/>
  <c r="F28"/>
  <c r="H63" i="12"/>
  <c r="H65" s="1"/>
  <c r="G28" i="10"/>
  <c r="I63" i="12"/>
  <c r="H28" i="10"/>
  <c r="J63" i="12"/>
  <c r="J65" s="1"/>
  <c r="I28" i="10"/>
  <c r="K63" i="12"/>
  <c r="K65" s="1"/>
  <c r="J28" i="10"/>
  <c r="L63" i="12"/>
  <c r="L65" s="1"/>
  <c r="F29" i="10"/>
  <c r="G29"/>
  <c r="H29"/>
  <c r="I29"/>
  <c r="J29"/>
  <c r="F32"/>
  <c r="F33" s="1"/>
  <c r="F34" s="1"/>
  <c r="G32"/>
  <c r="G33" s="1"/>
  <c r="H32"/>
  <c r="H33" s="1"/>
  <c r="I32"/>
  <c r="I33" s="1"/>
  <c r="J32"/>
  <c r="J33" s="1"/>
  <c r="B34"/>
  <c r="C34"/>
  <c r="D34"/>
  <c r="E34"/>
  <c r="B7" i="30"/>
  <c r="C7"/>
  <c r="D7"/>
  <c r="E7"/>
  <c r="F7"/>
  <c r="G7"/>
  <c r="H7"/>
  <c r="I7"/>
  <c r="J7"/>
  <c r="K7"/>
  <c r="L7"/>
  <c r="M7"/>
  <c r="P70" i="12"/>
  <c r="N7" i="30" s="1"/>
  <c r="B67"/>
  <c r="C67"/>
  <c r="D67"/>
  <c r="E67"/>
  <c r="F67"/>
  <c r="G67"/>
  <c r="H67"/>
  <c r="I67"/>
  <c r="G98"/>
  <c r="J98"/>
  <c r="G99"/>
  <c r="B4" i="34"/>
  <c r="C4"/>
  <c r="D4"/>
  <c r="E4"/>
  <c r="F4"/>
  <c r="G4"/>
  <c r="H4"/>
  <c r="I4"/>
  <c r="J4"/>
  <c r="K4"/>
  <c r="L4"/>
  <c r="M4"/>
  <c r="B31"/>
  <c r="C31"/>
  <c r="D31"/>
  <c r="E31"/>
  <c r="F31"/>
  <c r="G31"/>
  <c r="H31"/>
  <c r="I31"/>
  <c r="J31"/>
  <c r="K31"/>
  <c r="L31"/>
  <c r="M31"/>
  <c r="B32"/>
  <c r="C32"/>
  <c r="D32"/>
  <c r="E32"/>
  <c r="F32"/>
  <c r="G32"/>
  <c r="H32"/>
  <c r="I32"/>
  <c r="J32"/>
  <c r="K32"/>
  <c r="L32"/>
  <c r="M32"/>
  <c r="U65" i="12"/>
  <c r="V65"/>
  <c r="W65"/>
  <c r="X65"/>
  <c r="Y65"/>
  <c r="Z65"/>
  <c r="AA65"/>
  <c r="AB65"/>
  <c r="AC65"/>
  <c r="AD65"/>
  <c r="AE65"/>
  <c r="AF65"/>
  <c r="AK65"/>
  <c r="AL65"/>
  <c r="AM65"/>
  <c r="AN65"/>
  <c r="AO65"/>
  <c r="AP65"/>
  <c r="AQ65"/>
  <c r="AR65"/>
  <c r="AS65"/>
  <c r="AT65"/>
  <c r="AU65"/>
  <c r="AV65"/>
  <c r="B8" i="22"/>
  <c r="C8"/>
  <c r="D8"/>
  <c r="E8"/>
  <c r="F8"/>
  <c r="G8"/>
  <c r="H8"/>
  <c r="I8"/>
  <c r="J8"/>
  <c r="K8"/>
  <c r="L8"/>
  <c r="M8"/>
  <c r="Y8"/>
  <c r="Z8"/>
  <c r="AA8"/>
  <c r="AB8"/>
  <c r="AC8"/>
  <c r="AD8"/>
  <c r="AE8"/>
  <c r="AF8"/>
  <c r="AG8"/>
  <c r="AH8"/>
  <c r="AI8"/>
  <c r="AJ8"/>
  <c r="AO8"/>
  <c r="AP8"/>
  <c r="AQ8"/>
  <c r="AR8"/>
  <c r="AS8"/>
  <c r="AT8"/>
  <c r="AU8"/>
  <c r="AV8"/>
  <c r="AW8"/>
  <c r="AX8"/>
  <c r="AY8"/>
  <c r="AZ8"/>
  <c r="B10"/>
  <c r="C10"/>
  <c r="D10"/>
  <c r="E10"/>
  <c r="F10"/>
  <c r="G10"/>
  <c r="H10"/>
  <c r="I10"/>
  <c r="J10"/>
  <c r="K10"/>
  <c r="L10"/>
  <c r="AI10"/>
  <c r="B215"/>
  <c r="N3" i="29"/>
  <c r="N4"/>
  <c r="N5"/>
  <c r="B6"/>
  <c r="C6"/>
  <c r="D6"/>
  <c r="E6"/>
  <c r="F6"/>
  <c r="G6"/>
  <c r="H6"/>
  <c r="I6"/>
  <c r="J6"/>
  <c r="K6"/>
  <c r="N6" s="1"/>
  <c r="B9"/>
  <c r="C9"/>
  <c r="C11" s="1"/>
  <c r="D9"/>
  <c r="E9"/>
  <c r="E11" s="1"/>
  <c r="F9"/>
  <c r="G9"/>
  <c r="G11" s="1"/>
  <c r="H9"/>
  <c r="I9"/>
  <c r="I11" s="1"/>
  <c r="J9"/>
  <c r="K9"/>
  <c r="K11" s="1"/>
  <c r="L9"/>
  <c r="M9"/>
  <c r="M11" s="1"/>
  <c r="N10"/>
  <c r="B11"/>
  <c r="D11"/>
  <c r="F11"/>
  <c r="H11"/>
  <c r="J11"/>
  <c r="L11"/>
  <c r="N14"/>
  <c r="N15"/>
  <c r="N16"/>
  <c r="B17"/>
  <c r="C17"/>
  <c r="D17"/>
  <c r="E17"/>
  <c r="F17"/>
  <c r="G17"/>
  <c r="H17"/>
  <c r="I17"/>
  <c r="J17"/>
  <c r="K17"/>
  <c r="N17" s="1"/>
  <c r="B23"/>
  <c r="C23"/>
  <c r="D23"/>
  <c r="E23"/>
  <c r="F23"/>
  <c r="G23"/>
  <c r="H23"/>
  <c r="I23"/>
  <c r="L23"/>
  <c r="M23"/>
  <c r="B24"/>
  <c r="C24"/>
  <c r="C1" i="12"/>
  <c r="T1"/>
  <c r="AJ1"/>
  <c r="T5"/>
  <c r="AJ5"/>
  <c r="P9"/>
  <c r="I12"/>
  <c r="I13" s="1"/>
  <c r="I15" s="1"/>
  <c r="I16" s="1"/>
  <c r="P22"/>
  <c r="P24"/>
  <c r="AG24"/>
  <c r="D25"/>
  <c r="E25"/>
  <c r="F25"/>
  <c r="G25"/>
  <c r="H25"/>
  <c r="I25"/>
  <c r="J25"/>
  <c r="K25"/>
  <c r="D41"/>
  <c r="E41"/>
  <c r="F41"/>
  <c r="G41"/>
  <c r="H41"/>
  <c r="I41"/>
  <c r="J41"/>
  <c r="K41"/>
  <c r="L41"/>
  <c r="AG59"/>
  <c r="AW59"/>
  <c r="P63"/>
  <c r="AG63"/>
  <c r="AW63"/>
  <c r="AG65"/>
  <c r="AW65"/>
  <c r="AG70"/>
  <c r="AW70"/>
  <c r="D75"/>
  <c r="E75"/>
  <c r="F75"/>
  <c r="G75"/>
  <c r="H75"/>
  <c r="I75"/>
  <c r="J75"/>
  <c r="K75"/>
  <c r="L75"/>
  <c r="M75"/>
  <c r="N75"/>
  <c r="E77"/>
  <c r="F77"/>
  <c r="G77"/>
  <c r="H77"/>
  <c r="I77"/>
  <c r="J77"/>
  <c r="K77"/>
  <c r="L77"/>
  <c r="M77"/>
  <c r="N77"/>
  <c r="O77"/>
  <c r="V77"/>
  <c r="W77"/>
  <c r="X77"/>
  <c r="Y77"/>
  <c r="Z77"/>
  <c r="AA77"/>
  <c r="AB77"/>
  <c r="AC77"/>
  <c r="AD77"/>
  <c r="AE77"/>
  <c r="AF77"/>
  <c r="AL77"/>
  <c r="AM77"/>
  <c r="AN77"/>
  <c r="AO77"/>
  <c r="AP77"/>
  <c r="AQ77"/>
  <c r="AR77"/>
  <c r="AS77"/>
  <c r="AT77"/>
  <c r="AU77"/>
  <c r="AV77"/>
  <c r="P83"/>
  <c r="P82" s="1"/>
  <c r="B83"/>
  <c r="D84"/>
  <c r="E84" s="1"/>
  <c r="F84" s="1"/>
  <c r="G84" s="1"/>
  <c r="H84" s="1"/>
  <c r="I84" s="1"/>
  <c r="J84" s="1"/>
  <c r="K84" s="1"/>
  <c r="L84" s="1"/>
  <c r="M84" s="1"/>
  <c r="N84" s="1"/>
  <c r="O84" s="1"/>
  <c r="U84"/>
  <c r="D103"/>
  <c r="E103"/>
  <c r="F103"/>
  <c r="G103"/>
  <c r="H103"/>
  <c r="I103"/>
  <c r="J103"/>
  <c r="K103"/>
  <c r="L103"/>
  <c r="M103"/>
  <c r="D109"/>
  <c r="E109"/>
  <c r="F109"/>
  <c r="G109"/>
  <c r="H109"/>
  <c r="I109"/>
  <c r="J109"/>
  <c r="K109"/>
  <c r="L109"/>
  <c r="M109"/>
  <c r="I110"/>
  <c r="I111" s="1"/>
  <c r="L110"/>
  <c r="E119"/>
  <c r="E120" s="1"/>
  <c r="D131"/>
  <c r="E131"/>
  <c r="F131"/>
  <c r="G131"/>
  <c r="H131"/>
  <c r="I131"/>
  <c r="J131"/>
  <c r="K131"/>
  <c r="L131"/>
  <c r="M131"/>
  <c r="N131"/>
  <c r="O131"/>
  <c r="D132"/>
  <c r="E132"/>
  <c r="F132"/>
  <c r="G132"/>
  <c r="H132"/>
  <c r="I132"/>
  <c r="J132"/>
  <c r="K132"/>
  <c r="L132"/>
  <c r="M132"/>
  <c r="N132"/>
  <c r="O132"/>
  <c r="D139"/>
  <c r="E139"/>
  <c r="F139"/>
  <c r="G139"/>
  <c r="H139"/>
  <c r="I139"/>
  <c r="J139"/>
  <c r="K139"/>
  <c r="L139"/>
  <c r="M139"/>
  <c r="N139"/>
  <c r="O139"/>
  <c r="D140"/>
  <c r="E140"/>
  <c r="F140"/>
  <c r="G140"/>
  <c r="H140"/>
  <c r="I140"/>
  <c r="J140"/>
  <c r="K140"/>
  <c r="L140"/>
  <c r="M140"/>
  <c r="N140"/>
  <c r="O140"/>
  <c r="F28" i="23"/>
  <c r="G37"/>
  <c r="H37"/>
  <c r="H38"/>
  <c r="G38"/>
  <c r="H39"/>
  <c r="G39"/>
  <c r="G43"/>
  <c r="H43"/>
  <c r="H49"/>
  <c r="H51"/>
  <c r="H52"/>
  <c r="K10" i="37"/>
  <c r="G40" i="23"/>
  <c r="G44"/>
  <c r="F172" i="14"/>
  <c r="E173"/>
  <c r="F168"/>
  <c r="E169"/>
  <c r="F164"/>
  <c r="E165"/>
  <c r="F160"/>
  <c r="E161"/>
  <c r="F156"/>
  <c r="E157"/>
  <c r="F152"/>
  <c r="E153"/>
  <c r="C215" i="22"/>
  <c r="E145" i="14"/>
  <c r="E141"/>
  <c r="E137"/>
  <c r="E133"/>
  <c r="E129"/>
  <c r="G45" i="23"/>
  <c r="D24" i="29"/>
  <c r="E113" i="14"/>
  <c r="E121"/>
  <c r="E125"/>
  <c r="I212" i="38"/>
  <c r="K11" i="12"/>
  <c r="G11"/>
  <c r="E212" i="38"/>
  <c r="E11" i="12"/>
  <c r="C212" i="38"/>
  <c r="K10" i="12"/>
  <c r="I122" i="38"/>
  <c r="G10" i="12"/>
  <c r="E122" i="38"/>
  <c r="E10" i="12"/>
  <c r="C122" i="38"/>
  <c r="AU11" i="12"/>
  <c r="AU66" s="1"/>
  <c r="AT24" i="14"/>
  <c r="AT15"/>
  <c r="AS11" i="12"/>
  <c r="AS66" s="1"/>
  <c r="AR24" i="14"/>
  <c r="AR15"/>
  <c r="AQ11" i="12"/>
  <c r="AQ66"/>
  <c r="AP24" i="14"/>
  <c r="AP15"/>
  <c r="AO11" i="12"/>
  <c r="AO66"/>
  <c r="AN24" i="14"/>
  <c r="AN15"/>
  <c r="AM11" i="12"/>
  <c r="AM66"/>
  <c r="AL24" i="14"/>
  <c r="AL15"/>
  <c r="AK11" i="12"/>
  <c r="AJ24" i="14"/>
  <c r="AF11" i="12"/>
  <c r="AF66"/>
  <c r="AE24" i="14"/>
  <c r="AE15"/>
  <c r="AD11" i="12"/>
  <c r="AD66"/>
  <c r="AC24" i="14"/>
  <c r="AC15"/>
  <c r="AB11" i="12"/>
  <c r="AB66"/>
  <c r="AA24" i="14"/>
  <c r="AA15"/>
  <c r="Z11" i="12"/>
  <c r="Z66"/>
  <c r="Y24" i="14"/>
  <c r="Y15"/>
  <c r="X11" i="12"/>
  <c r="X66"/>
  <c r="W24" i="14"/>
  <c r="W15"/>
  <c r="V11" i="12"/>
  <c r="V66"/>
  <c r="U24" i="14"/>
  <c r="U15"/>
  <c r="N24"/>
  <c r="L211" i="38"/>
  <c r="L24" i="14"/>
  <c r="J211" i="38"/>
  <c r="J24" i="14"/>
  <c r="H211" i="38"/>
  <c r="H24" i="14"/>
  <c r="H15"/>
  <c r="K5" i="16"/>
  <c r="F211" i="38"/>
  <c r="F24" i="14"/>
  <c r="F15"/>
  <c r="I5" i="16"/>
  <c r="D211" i="38"/>
  <c r="D24" i="14"/>
  <c r="B211" i="38"/>
  <c r="B14" i="14"/>
  <c r="B18"/>
  <c r="B27"/>
  <c r="Y7"/>
  <c r="H7"/>
  <c r="AJ42"/>
  <c r="AK42"/>
  <c r="AL42"/>
  <c r="AM42"/>
  <c r="AN42"/>
  <c r="AO42"/>
  <c r="AP42"/>
  <c r="AQ42"/>
  <c r="AR42"/>
  <c r="AS42"/>
  <c r="AT42"/>
  <c r="AU42"/>
  <c r="AG44"/>
  <c r="AG52"/>
  <c r="AG23"/>
  <c r="AG27"/>
  <c r="H45" i="23"/>
  <c r="H44"/>
  <c r="H40"/>
  <c r="H55"/>
  <c r="Q58" i="14"/>
  <c r="I66" i="12"/>
  <c r="I68" s="1"/>
  <c r="I65"/>
  <c r="H11"/>
  <c r="F212" i="38"/>
  <c r="F11" i="12"/>
  <c r="D212" i="38"/>
  <c r="D11" i="12"/>
  <c r="B212" i="38"/>
  <c r="F122"/>
  <c r="H10" i="12"/>
  <c r="F10"/>
  <c r="D122" i="38"/>
  <c r="D10" i="12"/>
  <c r="B122" i="38"/>
  <c r="AV11" i="12"/>
  <c r="AV66" s="1"/>
  <c r="AU24" i="14"/>
  <c r="AU15"/>
  <c r="AT11" i="12"/>
  <c r="AT66" s="1"/>
  <c r="AS24" i="14"/>
  <c r="AS15"/>
  <c r="AR11" i="12"/>
  <c r="AR66" s="1"/>
  <c r="AQ24" i="14"/>
  <c r="AQ15"/>
  <c r="AP11" i="12"/>
  <c r="AP66" s="1"/>
  <c r="AO24" i="14"/>
  <c r="AO15"/>
  <c r="AN11" i="12"/>
  <c r="AN66" s="1"/>
  <c r="AM24" i="14"/>
  <c r="AM15"/>
  <c r="AL11" i="12"/>
  <c r="AL66" s="1"/>
  <c r="AK24" i="14"/>
  <c r="AK15"/>
  <c r="AE11" i="12"/>
  <c r="AE66" s="1"/>
  <c r="AD24" i="14"/>
  <c r="AD15"/>
  <c r="AC11" i="12"/>
  <c r="AC66" s="1"/>
  <c r="AB24" i="14"/>
  <c r="AB15"/>
  <c r="AA11" i="12"/>
  <c r="AA66" s="1"/>
  <c r="Z24" i="14"/>
  <c r="Z15"/>
  <c r="Y11" i="12"/>
  <c r="Y66" s="1"/>
  <c r="X24" i="14"/>
  <c r="X15"/>
  <c r="W11" i="12"/>
  <c r="W66" s="1"/>
  <c r="V24" i="14"/>
  <c r="V15"/>
  <c r="U11" i="12"/>
  <c r="T24" i="14"/>
  <c r="M211" i="38"/>
  <c r="O24" i="14"/>
  <c r="O15"/>
  <c r="R5" i="16"/>
  <c r="K211" i="38"/>
  <c r="M24" i="14"/>
  <c r="M15"/>
  <c r="P5" i="16"/>
  <c r="I211" i="38"/>
  <c r="K24" i="14"/>
  <c r="G211" i="38"/>
  <c r="I24" i="14"/>
  <c r="E211" i="38"/>
  <c r="G24" i="14"/>
  <c r="C211" i="38"/>
  <c r="E24" i="14"/>
  <c r="E15"/>
  <c r="H5" i="16"/>
  <c r="AN7" i="14"/>
  <c r="AM8"/>
  <c r="AM9"/>
  <c r="W8"/>
  <c r="W9"/>
  <c r="X6"/>
  <c r="Y6"/>
  <c r="Z6"/>
  <c r="AA6"/>
  <c r="AB6"/>
  <c r="AC6"/>
  <c r="AD6"/>
  <c r="AJ50"/>
  <c r="AJ39"/>
  <c r="AV37"/>
  <c r="N28" i="10"/>
  <c r="P99" i="14"/>
  <c r="P87"/>
  <c r="AF62"/>
  <c r="AH27"/>
  <c r="AD42"/>
  <c r="AD48"/>
  <c r="AD38"/>
  <c r="AD37"/>
  <c r="AD46"/>
  <c r="AE9" i="12"/>
  <c r="AE83" s="1"/>
  <c r="AD43" i="14"/>
  <c r="AB42"/>
  <c r="AB48"/>
  <c r="AB38"/>
  <c r="AB37"/>
  <c r="AB46"/>
  <c r="AC9" i="12"/>
  <c r="AC83" s="1"/>
  <c r="AB43" i="14"/>
  <c r="Z42"/>
  <c r="Z48"/>
  <c r="Z38"/>
  <c r="Z37"/>
  <c r="Z46"/>
  <c r="AA9" i="12"/>
  <c r="AA83" s="1"/>
  <c r="Z43" i="14"/>
  <c r="X42"/>
  <c r="X48"/>
  <c r="X38"/>
  <c r="X37"/>
  <c r="X46"/>
  <c r="Y9" i="12"/>
  <c r="X43" i="14"/>
  <c r="V48"/>
  <c r="V49"/>
  <c r="W49"/>
  <c r="X49"/>
  <c r="Y49"/>
  <c r="Z49"/>
  <c r="AA49"/>
  <c r="AB49"/>
  <c r="AC49"/>
  <c r="AD49"/>
  <c r="AE49"/>
  <c r="V38"/>
  <c r="V37"/>
  <c r="V43"/>
  <c r="N46" i="16"/>
  <c r="O46"/>
  <c r="Q46"/>
  <c r="P46"/>
  <c r="M46"/>
  <c r="L46"/>
  <c r="K46"/>
  <c r="J46"/>
  <c r="I46"/>
  <c r="H46"/>
  <c r="G46"/>
  <c r="AH12"/>
  <c r="AH15"/>
  <c r="AC11"/>
  <c r="AC15"/>
  <c r="AA12"/>
  <c r="AA15"/>
  <c r="Y12"/>
  <c r="Y15"/>
  <c r="R12"/>
  <c r="R15"/>
  <c r="P45"/>
  <c r="P12"/>
  <c r="P15"/>
  <c r="N45"/>
  <c r="N11"/>
  <c r="N15"/>
  <c r="K45"/>
  <c r="K11"/>
  <c r="I12"/>
  <c r="I15"/>
  <c r="I45"/>
  <c r="G12"/>
  <c r="G45"/>
  <c r="AV32"/>
  <c r="AT32"/>
  <c r="AE32"/>
  <c r="AC32"/>
  <c r="T10" i="36"/>
  <c r="AY32" i="16"/>
  <c r="AR32"/>
  <c r="AP32"/>
  <c r="AI32"/>
  <c r="AG32"/>
  <c r="Z32"/>
  <c r="X32"/>
  <c r="M10" i="4"/>
  <c r="Q32" i="16"/>
  <c r="B16" i="36"/>
  <c r="AV33" i="16"/>
  <c r="AH11" i="35"/>
  <c r="AH10" i="36" s="1"/>
  <c r="AT33" i="16"/>
  <c r="AF11" i="35"/>
  <c r="AF10" i="36" s="1"/>
  <c r="AE33" i="16"/>
  <c r="V11" i="35"/>
  <c r="V10" i="36" s="1"/>
  <c r="AC33" i="16"/>
  <c r="T10" i="35"/>
  <c r="AY33" i="16"/>
  <c r="AK6" i="35"/>
  <c r="AK5" i="36" s="1"/>
  <c r="AW89" i="2"/>
  <c r="AW93"/>
  <c r="AW95"/>
  <c r="AS89"/>
  <c r="AS93"/>
  <c r="AS95"/>
  <c r="AO89"/>
  <c r="AO93"/>
  <c r="AO95"/>
  <c r="AO111"/>
  <c r="Z93"/>
  <c r="Z111"/>
  <c r="V93"/>
  <c r="V111"/>
  <c r="U111"/>
  <c r="AE26"/>
  <c r="AA26"/>
  <c r="W26"/>
  <c r="AI33" i="16"/>
  <c r="Z6" i="35"/>
  <c r="Z5" i="36" s="1"/>
  <c r="L113" i="3"/>
  <c r="J9" i="4"/>
  <c r="J10" s="1"/>
  <c r="J7" i="36" s="1"/>
  <c r="J6" s="1"/>
  <c r="J88" i="3"/>
  <c r="J89"/>
  <c r="I9" i="4"/>
  <c r="I10" s="1"/>
  <c r="I7" i="36" s="1"/>
  <c r="I6" s="1"/>
  <c r="I88" i="3"/>
  <c r="I89"/>
  <c r="J119" i="12"/>
  <c r="J120" s="1"/>
  <c r="H9" i="4"/>
  <c r="H10" s="1"/>
  <c r="H7" i="36" s="1"/>
  <c r="H6" s="1"/>
  <c r="H88" i="3"/>
  <c r="H89"/>
  <c r="I119" i="12"/>
  <c r="I120" s="1"/>
  <c r="G9" i="4"/>
  <c r="G10" s="1"/>
  <c r="G88" i="3"/>
  <c r="G89"/>
  <c r="H119" i="12"/>
  <c r="H120" s="1"/>
  <c r="F9" i="4"/>
  <c r="F10" s="1"/>
  <c r="F88" i="3"/>
  <c r="F89"/>
  <c r="G119" i="12"/>
  <c r="G120" s="1"/>
  <c r="H7" i="6"/>
  <c r="H8" s="1"/>
  <c r="H8" i="5"/>
  <c r="H7" i="28"/>
  <c r="D8" i="5"/>
  <c r="D7" i="6"/>
  <c r="D8" s="1"/>
  <c r="D7" i="28"/>
  <c r="D8" s="1"/>
  <c r="E9" i="4"/>
  <c r="E10" s="1"/>
  <c r="E88" i="3"/>
  <c r="E89"/>
  <c r="F119" i="12"/>
  <c r="F120" s="1"/>
  <c r="C9" i="4"/>
  <c r="C88" i="3"/>
  <c r="C89"/>
  <c r="D119" i="12"/>
  <c r="D120" s="1"/>
  <c r="E22" i="14"/>
  <c r="E38" i="12"/>
  <c r="E66" i="14"/>
  <c r="C113" i="3"/>
  <c r="A26" i="14"/>
  <c r="AP28" i="16"/>
  <c r="AT43" i="14"/>
  <c r="AT48"/>
  <c r="AT50"/>
  <c r="AS43"/>
  <c r="AS48"/>
  <c r="AS50"/>
  <c r="AR43"/>
  <c r="AR48"/>
  <c r="AR50"/>
  <c r="AQ43"/>
  <c r="AQ48"/>
  <c r="AQ50"/>
  <c r="AP43"/>
  <c r="AP48"/>
  <c r="AO43"/>
  <c r="AO48"/>
  <c r="AO50"/>
  <c r="AN43"/>
  <c r="AN48"/>
  <c r="AM43"/>
  <c r="AM48"/>
  <c r="AM50"/>
  <c r="AL43"/>
  <c r="AV43"/>
  <c r="AL48"/>
  <c r="AV48"/>
  <c r="T9" i="36"/>
  <c r="Q7" i="4"/>
  <c r="O7"/>
  <c r="M7"/>
  <c r="AM6" i="35"/>
  <c r="AM5" i="36" s="1"/>
  <c r="H111" i="3"/>
  <c r="AE111" i="2"/>
  <c r="AC37" i="14"/>
  <c r="AC46"/>
  <c r="AD9" i="12"/>
  <c r="AC43" i="14"/>
  <c r="AC42"/>
  <c r="AC44"/>
  <c r="AC48"/>
  <c r="AC38"/>
  <c r="AC51"/>
  <c r="AA37"/>
  <c r="AA46"/>
  <c r="AB9" i="12"/>
  <c r="AA43" i="14"/>
  <c r="AA42"/>
  <c r="AA44"/>
  <c r="AA48"/>
  <c r="AA38"/>
  <c r="AA51"/>
  <c r="Y37"/>
  <c r="Y46"/>
  <c r="Z9" i="12"/>
  <c r="Y43" i="14"/>
  <c r="Y42"/>
  <c r="Y44"/>
  <c r="Y48"/>
  <c r="Y38"/>
  <c r="Y51"/>
  <c r="W46"/>
  <c r="X9" i="12"/>
  <c r="W43" i="14"/>
  <c r="W42"/>
  <c r="W48"/>
  <c r="W38"/>
  <c r="G112" i="16"/>
  <c r="S110"/>
  <c r="AI12"/>
  <c r="AI15"/>
  <c r="AG12"/>
  <c r="AG15"/>
  <c r="AB11"/>
  <c r="Z12"/>
  <c r="Z15"/>
  <c r="X12"/>
  <c r="Q45"/>
  <c r="Q12"/>
  <c r="Q15"/>
  <c r="O45"/>
  <c r="O11"/>
  <c r="O15"/>
  <c r="L45"/>
  <c r="L11"/>
  <c r="L15"/>
  <c r="J45"/>
  <c r="J12"/>
  <c r="J15"/>
  <c r="H45"/>
  <c r="H12"/>
  <c r="H15"/>
  <c r="AW32"/>
  <c r="AU32"/>
  <c r="AF32"/>
  <c r="AD32"/>
  <c r="AZ32"/>
  <c r="AX32"/>
  <c r="AQ32"/>
  <c r="AO32"/>
  <c r="AH32"/>
  <c r="AA32"/>
  <c r="Y32"/>
  <c r="R32"/>
  <c r="AW33"/>
  <c r="AI11" i="35"/>
  <c r="AI10" i="36" s="1"/>
  <c r="AU33" i="16"/>
  <c r="AG11" i="35"/>
  <c r="AG10" i="36" s="1"/>
  <c r="AF33" i="16"/>
  <c r="W11" i="35"/>
  <c r="W10" i="36" s="1"/>
  <c r="AD33" i="16"/>
  <c r="U11" i="35"/>
  <c r="U10" i="36" s="1"/>
  <c r="K10" i="35"/>
  <c r="K9" s="1"/>
  <c r="AZ33" i="16"/>
  <c r="AL6" i="35"/>
  <c r="AL5" i="36" s="1"/>
  <c r="AX33" i="16"/>
  <c r="AJ6" i="35"/>
  <c r="AJ5" i="36" s="1"/>
  <c r="J94" i="3"/>
  <c r="J112"/>
  <c r="J114"/>
  <c r="J122"/>
  <c r="J150"/>
  <c r="J155"/>
  <c r="J98"/>
  <c r="J121"/>
  <c r="J124"/>
  <c r="J123"/>
  <c r="H94"/>
  <c r="H112"/>
  <c r="H114"/>
  <c r="H122"/>
  <c r="H150"/>
  <c r="H155"/>
  <c r="H98"/>
  <c r="H121"/>
  <c r="H123"/>
  <c r="F94"/>
  <c r="F112"/>
  <c r="F114"/>
  <c r="F122"/>
  <c r="F98"/>
  <c r="F121"/>
  <c r="F123"/>
  <c r="I94"/>
  <c r="I98"/>
  <c r="I106"/>
  <c r="I121"/>
  <c r="I124"/>
  <c r="I123"/>
  <c r="I112"/>
  <c r="I122"/>
  <c r="I150"/>
  <c r="I155"/>
  <c r="G94"/>
  <c r="G98"/>
  <c r="G106"/>
  <c r="G121"/>
  <c r="G124"/>
  <c r="G123"/>
  <c r="G112"/>
  <c r="G122"/>
  <c r="G150"/>
  <c r="E94"/>
  <c r="E98"/>
  <c r="E121"/>
  <c r="E123"/>
  <c r="E122"/>
  <c r="AD89" i="2"/>
  <c r="AD91"/>
  <c r="AD113"/>
  <c r="AD119"/>
  <c r="Z89"/>
  <c r="Z91"/>
  <c r="Z95"/>
  <c r="Z108" s="1"/>
  <c r="AA20" i="12" s="1"/>
  <c r="AA35" s="1"/>
  <c r="Z113" i="2"/>
  <c r="Z119"/>
  <c r="V89"/>
  <c r="V91"/>
  <c r="V95" s="1"/>
  <c r="V113"/>
  <c r="T91"/>
  <c r="AF79"/>
  <c r="AE91"/>
  <c r="AC89"/>
  <c r="AC91"/>
  <c r="AC95" s="1"/>
  <c r="AA89"/>
  <c r="AA91"/>
  <c r="AA95"/>
  <c r="Y89"/>
  <c r="Y91"/>
  <c r="Y95" s="1"/>
  <c r="W89"/>
  <c r="W91"/>
  <c r="W95"/>
  <c r="AF75"/>
  <c r="U89"/>
  <c r="U91"/>
  <c r="AE70"/>
  <c r="AE93"/>
  <c r="AC70"/>
  <c r="AC93"/>
  <c r="AF67"/>
  <c r="U70"/>
  <c r="U93"/>
  <c r="AL49"/>
  <c r="AH33" i="16"/>
  <c r="Y6" i="35"/>
  <c r="Y5" i="36" s="1"/>
  <c r="J7" i="28"/>
  <c r="J7" i="6"/>
  <c r="J8" s="1"/>
  <c r="J8" i="5"/>
  <c r="F8"/>
  <c r="F7" i="6"/>
  <c r="F8" s="1"/>
  <c r="F7" i="28"/>
  <c r="F8" s="1"/>
  <c r="O22" i="14"/>
  <c r="O38" i="12"/>
  <c r="O66" i="14"/>
  <c r="M241" i="38"/>
  <c r="D22" i="14"/>
  <c r="D66"/>
  <c r="D38" i="12"/>
  <c r="AF10"/>
  <c r="AE22" i="14"/>
  <c r="B93" i="2"/>
  <c r="N67"/>
  <c r="B111"/>
  <c r="N87"/>
  <c r="C111"/>
  <c r="C89"/>
  <c r="N79"/>
  <c r="C26"/>
  <c r="C113"/>
  <c r="N7"/>
  <c r="A14" i="14"/>
  <c r="A18"/>
  <c r="AV2"/>
  <c r="AF2"/>
  <c r="H89"/>
  <c r="F89"/>
  <c r="E89"/>
  <c r="D89"/>
  <c r="I152" i="16"/>
  <c r="I140"/>
  <c r="S43"/>
  <c r="AT38" i="14"/>
  <c r="AT46"/>
  <c r="AU9" i="12"/>
  <c r="AU83" s="1"/>
  <c r="AS38" i="14"/>
  <c r="AS46"/>
  <c r="AT9" i="12"/>
  <c r="AR38" i="14"/>
  <c r="AR46"/>
  <c r="AS9" i="12"/>
  <c r="AS83" s="1"/>
  <c r="AQ38" i="14"/>
  <c r="AQ46"/>
  <c r="AR9" i="12"/>
  <c r="AP38" i="14"/>
  <c r="AP51"/>
  <c r="AP46"/>
  <c r="AQ9" i="12"/>
  <c r="AQ83" s="1"/>
  <c r="AO38" i="14"/>
  <c r="AO46"/>
  <c r="AP9" i="12"/>
  <c r="AN38" i="14"/>
  <c r="AN51"/>
  <c r="AN46"/>
  <c r="AO9" i="12"/>
  <c r="AM38" i="14"/>
  <c r="AM46"/>
  <c r="AN9" i="12"/>
  <c r="AL38" i="14"/>
  <c r="AL46"/>
  <c r="R7" i="4"/>
  <c r="P7"/>
  <c r="N7"/>
  <c r="N4"/>
  <c r="L4"/>
  <c r="F4"/>
  <c r="D4"/>
  <c r="AM8" i="5"/>
  <c r="AM8" i="35"/>
  <c r="AC5"/>
  <c r="AC4" i="36" s="1"/>
  <c r="AA5" i="35"/>
  <c r="AA4" i="36" s="1"/>
  <c r="L5" i="35"/>
  <c r="L4" i="36" s="1"/>
  <c r="AE36" i="2"/>
  <c r="AC36"/>
  <c r="AA36"/>
  <c r="Y36"/>
  <c r="W36"/>
  <c r="K18" i="5"/>
  <c r="AR33" i="16"/>
  <c r="AD6" i="35"/>
  <c r="AD5" i="36" s="1"/>
  <c r="AP33" i="16"/>
  <c r="AB6" i="35"/>
  <c r="AB5" i="36" s="1"/>
  <c r="T42" i="14"/>
  <c r="T50"/>
  <c r="V42"/>
  <c r="V44"/>
  <c r="U37"/>
  <c r="W37"/>
  <c r="D93" i="2"/>
  <c r="D70"/>
  <c r="D24"/>
  <c r="D115" s="1"/>
  <c r="D21"/>
  <c r="F91"/>
  <c r="F89"/>
  <c r="F24"/>
  <c r="F115" s="1"/>
  <c r="F21"/>
  <c r="AE11" i="16"/>
  <c r="AE15"/>
  <c r="AC6" i="5"/>
  <c r="AA6"/>
  <c r="D119" i="3"/>
  <c r="I110"/>
  <c r="G110"/>
  <c r="E110"/>
  <c r="I108"/>
  <c r="G108"/>
  <c r="J106"/>
  <c r="H106"/>
  <c r="F106"/>
  <c r="D98"/>
  <c r="C109"/>
  <c r="C111"/>
  <c r="I65"/>
  <c r="G65"/>
  <c r="I64"/>
  <c r="G64"/>
  <c r="O64"/>
  <c r="AM70" i="2"/>
  <c r="AX70"/>
  <c r="AM36"/>
  <c r="U36"/>
  <c r="AO24"/>
  <c r="AM24"/>
  <c r="X24"/>
  <c r="V24"/>
  <c r="T24"/>
  <c r="K102" i="3"/>
  <c r="K103"/>
  <c r="K93"/>
  <c r="K107" s="1"/>
  <c r="K108" s="1"/>
  <c r="O108" s="1"/>
  <c r="K64"/>
  <c r="L84"/>
  <c r="I105" i="16"/>
  <c r="I85"/>
  <c r="G85"/>
  <c r="V46" i="14"/>
  <c r="V47"/>
  <c r="W47"/>
  <c r="X47"/>
  <c r="Y47"/>
  <c r="Z47"/>
  <c r="AA47"/>
  <c r="AB47"/>
  <c r="AC47"/>
  <c r="AD47"/>
  <c r="AE47"/>
  <c r="B89" i="2"/>
  <c r="K91"/>
  <c r="L26"/>
  <c r="M91"/>
  <c r="BA43" i="16"/>
  <c r="B70" i="2"/>
  <c r="B24"/>
  <c r="B26" s="1"/>
  <c r="D64" i="26"/>
  <c r="E25"/>
  <c r="E67"/>
  <c r="J105" i="16"/>
  <c r="J106"/>
  <c r="J118"/>
  <c r="J119"/>
  <c r="D18" i="28"/>
  <c r="N22" i="10"/>
  <c r="N23"/>
  <c r="AG33" i="16"/>
  <c r="X6" i="35"/>
  <c r="X5" i="36" s="1"/>
  <c r="AD11" i="16"/>
  <c r="AD15"/>
  <c r="I7" i="6"/>
  <c r="I8" s="1"/>
  <c r="I7" i="28"/>
  <c r="I8" i="5"/>
  <c r="G8"/>
  <c r="G7" i="6"/>
  <c r="G8" s="1"/>
  <c r="G7" i="28"/>
  <c r="G8" s="1"/>
  <c r="E8" i="5"/>
  <c r="E7" i="6"/>
  <c r="E8" s="1"/>
  <c r="E8" i="35" s="1"/>
  <c r="E7" s="1"/>
  <c r="E7" i="28"/>
  <c r="E8" s="1"/>
  <c r="C8" i="5"/>
  <c r="C19" s="1"/>
  <c r="D19" s="1"/>
  <c r="C7" i="6"/>
  <c r="C8" s="1"/>
  <c r="C7" i="28"/>
  <c r="C8" s="1"/>
  <c r="C19" s="1"/>
  <c r="G21" i="4"/>
  <c r="D67" i="26"/>
  <c r="D25"/>
  <c r="M45" i="16"/>
  <c r="L89" i="2"/>
  <c r="L70"/>
  <c r="L36"/>
  <c r="AF11" i="16"/>
  <c r="AF15"/>
  <c r="K18" i="6"/>
  <c r="D66" i="26"/>
  <c r="B91" i="2"/>
  <c r="C93"/>
  <c r="C91"/>
  <c r="S59" i="16"/>
  <c r="D26" i="2"/>
  <c r="D49" s="1"/>
  <c r="D108" s="1"/>
  <c r="E26"/>
  <c r="E49" s="1"/>
  <c r="E108" s="1"/>
  <c r="F26"/>
  <c r="F49" s="1"/>
  <c r="H91"/>
  <c r="H95"/>
  <c r="J91"/>
  <c r="J95" s="1"/>
  <c r="AW46" i="16"/>
  <c r="O105"/>
  <c r="O106"/>
  <c r="O118"/>
  <c r="O119"/>
  <c r="AV83" i="12"/>
  <c r="AR83"/>
  <c r="AO83"/>
  <c r="AK83"/>
  <c r="AB83"/>
  <c r="Z83"/>
  <c r="X83"/>
  <c r="D91" i="2"/>
  <c r="D95"/>
  <c r="AT83" i="12"/>
  <c r="AP83"/>
  <c r="AN83"/>
  <c r="AL83"/>
  <c r="AF83"/>
  <c r="V83"/>
  <c r="AD83"/>
  <c r="Y83"/>
  <c r="F67" i="26"/>
  <c r="F25"/>
  <c r="G25"/>
  <c r="G67"/>
  <c r="K105" i="16"/>
  <c r="K106"/>
  <c r="K118"/>
  <c r="K119"/>
  <c r="E38" i="37"/>
  <c r="L18" i="23" s="1"/>
  <c r="L17" s="1"/>
  <c r="E93" i="2"/>
  <c r="H67" i="26"/>
  <c r="H25"/>
  <c r="F43" i="14"/>
  <c r="F48"/>
  <c r="E91" i="2"/>
  <c r="E95"/>
  <c r="L105" i="16"/>
  <c r="L106"/>
  <c r="L118"/>
  <c r="L119"/>
  <c r="M105"/>
  <c r="M106"/>
  <c r="M118"/>
  <c r="M119"/>
  <c r="E11" i="37"/>
  <c r="G4" i="38"/>
  <c r="I67" i="26"/>
  <c r="I25"/>
  <c r="L67"/>
  <c r="L25"/>
  <c r="H43" i="14"/>
  <c r="H48"/>
  <c r="H50"/>
  <c r="G97"/>
  <c r="G81"/>
  <c r="N105" i="16"/>
  <c r="N106"/>
  <c r="N118"/>
  <c r="N119"/>
  <c r="J67" i="26"/>
  <c r="J25"/>
  <c r="K67"/>
  <c r="K25"/>
  <c r="I93" i="2"/>
  <c r="I91"/>
  <c r="I95"/>
  <c r="J10" i="12"/>
  <c r="J11"/>
  <c r="M43" i="14"/>
  <c r="M48"/>
  <c r="M50"/>
  <c r="I97"/>
  <c r="I81"/>
  <c r="I89"/>
  <c r="J97"/>
  <c r="J81"/>
  <c r="K16" i="26"/>
  <c r="T52" i="14"/>
  <c r="I101"/>
  <c r="G183" i="38"/>
  <c r="I162" i="14"/>
  <c r="I163"/>
  <c r="K68" i="26"/>
  <c r="J130" i="3"/>
  <c r="I130"/>
  <c r="J68" i="26"/>
  <c r="G101" i="14"/>
  <c r="E183" i="38"/>
  <c r="P97" i="14"/>
  <c r="G162"/>
  <c r="G163"/>
  <c r="L68" i="26"/>
  <c r="K130" i="3"/>
  <c r="G130"/>
  <c r="H68" i="26"/>
  <c r="G68"/>
  <c r="F130" i="3"/>
  <c r="AK84" i="12"/>
  <c r="AL84" s="1"/>
  <c r="E10" i="37"/>
  <c r="S60" i="16"/>
  <c r="D10" i="37"/>
  <c r="AF22" i="16"/>
  <c r="AF25"/>
  <c r="AF28"/>
  <c r="H21" i="4"/>
  <c r="G19"/>
  <c r="G29"/>
  <c r="S85" i="16"/>
  <c r="S118"/>
  <c r="G106"/>
  <c r="G118"/>
  <c r="G119"/>
  <c r="G94"/>
  <c r="I106"/>
  <c r="I118"/>
  <c r="I119"/>
  <c r="S119"/>
  <c r="T26" i="2"/>
  <c r="T115"/>
  <c r="X26"/>
  <c r="X49"/>
  <c r="X115"/>
  <c r="AO26"/>
  <c r="AO49" s="1"/>
  <c r="AO115"/>
  <c r="AO119" s="1"/>
  <c r="E111" i="3"/>
  <c r="I111"/>
  <c r="I113"/>
  <c r="I114"/>
  <c r="AO33" i="16"/>
  <c r="AA6" i="35"/>
  <c r="AA5" i="36" s="1"/>
  <c r="AE22" i="16"/>
  <c r="AE25"/>
  <c r="AE28"/>
  <c r="W50" i="14"/>
  <c r="W39"/>
  <c r="L18" i="5"/>
  <c r="K17"/>
  <c r="K31"/>
  <c r="K26"/>
  <c r="AM7" i="36"/>
  <c r="AM6" s="1"/>
  <c r="AM7" i="35"/>
  <c r="AM9" i="12"/>
  <c r="AV46" i="14"/>
  <c r="S44" i="16"/>
  <c r="C123" i="38"/>
  <c r="E105" i="14"/>
  <c r="E146"/>
  <c r="E147"/>
  <c r="F123" i="38"/>
  <c r="H105" i="14"/>
  <c r="AE13"/>
  <c r="AE26"/>
  <c r="D42" i="12"/>
  <c r="O8"/>
  <c r="O78" s="1"/>
  <c r="M98" i="30"/>
  <c r="O110" i="12"/>
  <c r="O12"/>
  <c r="O13" s="1"/>
  <c r="O15" s="1"/>
  <c r="O16" s="1"/>
  <c r="G155" i="3"/>
  <c r="P32" i="16"/>
  <c r="L10" i="4"/>
  <c r="L7"/>
  <c r="AZ34" i="16"/>
  <c r="AZ12"/>
  <c r="AZ15" s="1"/>
  <c r="D113" i="3"/>
  <c r="C241" i="38"/>
  <c r="E174" i="14"/>
  <c r="E175"/>
  <c r="E13"/>
  <c r="E26"/>
  <c r="C10" i="4"/>
  <c r="B1"/>
  <c r="V118" i="2"/>
  <c r="Z118"/>
  <c r="Z116"/>
  <c r="AO116"/>
  <c r="AO118"/>
  <c r="K15" i="16"/>
  <c r="S11"/>
  <c r="N22"/>
  <c r="N23"/>
  <c r="N25"/>
  <c r="N28"/>
  <c r="P22"/>
  <c r="P23"/>
  <c r="P25"/>
  <c r="P28"/>
  <c r="R22"/>
  <c r="R23"/>
  <c r="R25"/>
  <c r="R28"/>
  <c r="Y22"/>
  <c r="Y25"/>
  <c r="Y28"/>
  <c r="AA22"/>
  <c r="AA25"/>
  <c r="AA28"/>
  <c r="AC22"/>
  <c r="AC25"/>
  <c r="AC28"/>
  <c r="AH22"/>
  <c r="AH25"/>
  <c r="AH28"/>
  <c r="V51" i="14"/>
  <c r="AF38"/>
  <c r="X50"/>
  <c r="X39"/>
  <c r="Z50"/>
  <c r="Z39"/>
  <c r="AB50"/>
  <c r="AB39"/>
  <c r="AD50"/>
  <c r="AD39"/>
  <c r="AJ40"/>
  <c r="AK40"/>
  <c r="G15"/>
  <c r="K15"/>
  <c r="O66" i="12"/>
  <c r="M99" i="30"/>
  <c r="U66" i="12"/>
  <c r="AG11"/>
  <c r="D8"/>
  <c r="B98" i="30"/>
  <c r="D12" i="12"/>
  <c r="D110"/>
  <c r="F8"/>
  <c r="F78" s="1"/>
  <c r="D98" i="30"/>
  <c r="F12" i="12"/>
  <c r="F110"/>
  <c r="F111" s="1"/>
  <c r="D66"/>
  <c r="B99" i="30"/>
  <c r="P11" i="12"/>
  <c r="F66"/>
  <c r="F68" s="1"/>
  <c r="D99" i="30"/>
  <c r="H66" i="12"/>
  <c r="H68" s="1"/>
  <c r="F99" i="30"/>
  <c r="H65" i="23"/>
  <c r="H61"/>
  <c r="H57"/>
  <c r="AJ44" i="14"/>
  <c r="AV42"/>
  <c r="I7"/>
  <c r="Z7"/>
  <c r="Y8"/>
  <c r="Y9"/>
  <c r="D15"/>
  <c r="P24"/>
  <c r="D25"/>
  <c r="E25"/>
  <c r="F25"/>
  <c r="G25"/>
  <c r="H25"/>
  <c r="I25"/>
  <c r="J25"/>
  <c r="K25"/>
  <c r="L25"/>
  <c r="M25"/>
  <c r="N25"/>
  <c r="O25"/>
  <c r="J15"/>
  <c r="Y5" i="16"/>
  <c r="U16" i="14"/>
  <c r="Y6" i="16"/>
  <c r="AA5"/>
  <c r="W16" i="14"/>
  <c r="AA6" i="16"/>
  <c r="AC5"/>
  <c r="Y16" i="14"/>
  <c r="AC6" i="16"/>
  <c r="AE5"/>
  <c r="AA16" i="14"/>
  <c r="AE6" i="16"/>
  <c r="AG5"/>
  <c r="AC16" i="14"/>
  <c r="AG6" i="16"/>
  <c r="AI5"/>
  <c r="AE16" i="14"/>
  <c r="AI6" i="16"/>
  <c r="AJ15" i="14"/>
  <c r="AV24"/>
  <c r="AJ25"/>
  <c r="AK25"/>
  <c r="AL25"/>
  <c r="AM25"/>
  <c r="AN25"/>
  <c r="AO25"/>
  <c r="AP25"/>
  <c r="AQ25"/>
  <c r="AR25"/>
  <c r="AS25"/>
  <c r="AT25"/>
  <c r="AU25"/>
  <c r="AQ5" i="16"/>
  <c r="AL16" i="14"/>
  <c r="AQ6" i="16"/>
  <c r="AS5"/>
  <c r="AN16" i="14"/>
  <c r="AS6" i="16"/>
  <c r="AU5"/>
  <c r="AP16" i="14"/>
  <c r="AU6" i="16"/>
  <c r="AW5"/>
  <c r="AR16" i="14"/>
  <c r="AW6" i="16"/>
  <c r="AY5"/>
  <c r="AT16" i="14"/>
  <c r="AY6" i="16"/>
  <c r="K66" i="12"/>
  <c r="K68" s="1"/>
  <c r="I99" i="30"/>
  <c r="E24" i="29"/>
  <c r="AH34" i="16"/>
  <c r="K9" i="36"/>
  <c r="AD34" i="16"/>
  <c r="AU34"/>
  <c r="W49" i="2"/>
  <c r="W108" s="1"/>
  <c r="X20" i="12" s="1"/>
  <c r="X35" s="1"/>
  <c r="AA49" i="2"/>
  <c r="AA108" s="1"/>
  <c r="AB20" i="12" s="1"/>
  <c r="AB35" s="1"/>
  <c r="AE49" i="2"/>
  <c r="AA116"/>
  <c r="AI34" i="16"/>
  <c r="AP34"/>
  <c r="AE34"/>
  <c r="AV34"/>
  <c r="AF43" i="14"/>
  <c r="AG26"/>
  <c r="AT44"/>
  <c r="AR44"/>
  <c r="AP44"/>
  <c r="AN44"/>
  <c r="AL44"/>
  <c r="AL50"/>
  <c r="AN50"/>
  <c r="AN52"/>
  <c r="AP50"/>
  <c r="AP52"/>
  <c r="AL49"/>
  <c r="AM49"/>
  <c r="AN49"/>
  <c r="AO49"/>
  <c r="AP49"/>
  <c r="AQ49"/>
  <c r="AR49"/>
  <c r="AS49"/>
  <c r="AT49"/>
  <c r="AU49"/>
  <c r="G98"/>
  <c r="H98"/>
  <c r="I98"/>
  <c r="J98"/>
  <c r="K98"/>
  <c r="L98"/>
  <c r="M98"/>
  <c r="J101"/>
  <c r="H183" i="38"/>
  <c r="J162" i="14"/>
  <c r="J163"/>
  <c r="M51"/>
  <c r="M44"/>
  <c r="J8" i="12"/>
  <c r="J78" s="1"/>
  <c r="J12"/>
  <c r="H98" i="30"/>
  <c r="J110" i="12"/>
  <c r="J111" s="1"/>
  <c r="H51" i="14"/>
  <c r="H44"/>
  <c r="H130" i="3"/>
  <c r="I68" i="26"/>
  <c r="H63" i="38"/>
  <c r="J130" i="14"/>
  <c r="J131"/>
  <c r="G63" i="38"/>
  <c r="I130" i="14"/>
  <c r="I131"/>
  <c r="K91" i="38"/>
  <c r="K279" s="1"/>
  <c r="K358" s="1"/>
  <c r="M134" i="14"/>
  <c r="M135" s="1"/>
  <c r="M138"/>
  <c r="M139"/>
  <c r="J66" i="12"/>
  <c r="J68" s="1"/>
  <c r="H99" i="30"/>
  <c r="E63" i="38"/>
  <c r="G130" i="14"/>
  <c r="G131"/>
  <c r="F91" i="38"/>
  <c r="F279" s="1"/>
  <c r="H134" i="14"/>
  <c r="H135"/>
  <c r="H138"/>
  <c r="H139"/>
  <c r="D91" i="38"/>
  <c r="D279" s="1"/>
  <c r="F134" i="14"/>
  <c r="F138"/>
  <c r="E130" i="3"/>
  <c r="F68" i="26"/>
  <c r="B95" i="2"/>
  <c r="K17" i="6"/>
  <c r="K26"/>
  <c r="K31"/>
  <c r="C130" i="3"/>
  <c r="D68" i="26"/>
  <c r="P67"/>
  <c r="AD22" i="16"/>
  <c r="AD25"/>
  <c r="AD28"/>
  <c r="E18" i="28"/>
  <c r="D31"/>
  <c r="D17"/>
  <c r="D26"/>
  <c r="D130" i="3"/>
  <c r="E68" i="26"/>
  <c r="N24" i="2"/>
  <c r="B115"/>
  <c r="W9" i="12"/>
  <c r="AF46" i="14"/>
  <c r="I94" i="16"/>
  <c r="V26" i="2"/>
  <c r="V49" s="1"/>
  <c r="V108" s="1"/>
  <c r="W20" i="12" s="1"/>
  <c r="W35" s="1"/>
  <c r="V115" i="2"/>
  <c r="V119" s="1"/>
  <c r="AX24"/>
  <c r="AM26"/>
  <c r="AM115"/>
  <c r="C94" i="3"/>
  <c r="C98"/>
  <c r="C121"/>
  <c r="C123"/>
  <c r="C112"/>
  <c r="D112"/>
  <c r="E112"/>
  <c r="C122"/>
  <c r="G111"/>
  <c r="G113"/>
  <c r="G114"/>
  <c r="AQ33" i="16"/>
  <c r="AQ34" s="1"/>
  <c r="AC6" i="35"/>
  <c r="AC5" i="36" s="1"/>
  <c r="U50" i="14"/>
  <c r="U52"/>
  <c r="AF37"/>
  <c r="U39"/>
  <c r="AF42"/>
  <c r="T44"/>
  <c r="AV38"/>
  <c r="AL51"/>
  <c r="AM51"/>
  <c r="AM52"/>
  <c r="AM39"/>
  <c r="AO51"/>
  <c r="AO52"/>
  <c r="AO39"/>
  <c r="AQ51"/>
  <c r="AQ52"/>
  <c r="AQ39"/>
  <c r="AR51"/>
  <c r="AR52"/>
  <c r="AR39"/>
  <c r="AS51"/>
  <c r="AS52"/>
  <c r="AS39"/>
  <c r="AT51"/>
  <c r="AT52"/>
  <c r="AT39"/>
  <c r="B123" i="38"/>
  <c r="D105" i="14"/>
  <c r="D90"/>
  <c r="D146"/>
  <c r="D123" i="38"/>
  <c r="F105" i="14"/>
  <c r="C119" i="2"/>
  <c r="C118"/>
  <c r="C116"/>
  <c r="B116"/>
  <c r="B118"/>
  <c r="AF8" i="12"/>
  <c r="AF12"/>
  <c r="AF110"/>
  <c r="B241" i="38"/>
  <c r="D67" i="14"/>
  <c r="E67"/>
  <c r="D174"/>
  <c r="D13"/>
  <c r="D23"/>
  <c r="E23"/>
  <c r="D26"/>
  <c r="O13"/>
  <c r="O26"/>
  <c r="O30"/>
  <c r="O31" s="1"/>
  <c r="O33" i="16"/>
  <c r="K11" i="35"/>
  <c r="AX34" i="16"/>
  <c r="AX12"/>
  <c r="O32"/>
  <c r="O34" s="1"/>
  <c r="H22"/>
  <c r="H23"/>
  <c r="H25"/>
  <c r="H28"/>
  <c r="J22"/>
  <c r="J23"/>
  <c r="J25"/>
  <c r="J28"/>
  <c r="L22"/>
  <c r="L23"/>
  <c r="L25"/>
  <c r="L28"/>
  <c r="O25"/>
  <c r="O28"/>
  <c r="O22"/>
  <c r="O23"/>
  <c r="Q25"/>
  <c r="Q28"/>
  <c r="Q22"/>
  <c r="Q23"/>
  <c r="AJ12"/>
  <c r="X15"/>
  <c r="Z22"/>
  <c r="Z25"/>
  <c r="Z28"/>
  <c r="AJ11"/>
  <c r="AB15"/>
  <c r="AG22"/>
  <c r="AG25"/>
  <c r="AG28"/>
  <c r="AI22"/>
  <c r="AI25"/>
  <c r="AI28"/>
  <c r="Y50" i="14"/>
  <c r="Y52"/>
  <c r="Y39"/>
  <c r="AA50"/>
  <c r="AA52"/>
  <c r="AA39"/>
  <c r="AC50"/>
  <c r="AC52"/>
  <c r="AC39"/>
  <c r="AE118" i="2"/>
  <c r="E42" i="12"/>
  <c r="U118" i="2"/>
  <c r="AY34" i="16"/>
  <c r="AY12"/>
  <c r="AY15" s="1"/>
  <c r="S12"/>
  <c r="G15"/>
  <c r="I25"/>
  <c r="I28"/>
  <c r="I22"/>
  <c r="I23"/>
  <c r="V50" i="14"/>
  <c r="V52"/>
  <c r="V39"/>
  <c r="AJ52"/>
  <c r="AO7"/>
  <c r="AN8"/>
  <c r="AN9"/>
  <c r="I15"/>
  <c r="M66" i="12"/>
  <c r="M68" s="1"/>
  <c r="M69" s="1"/>
  <c r="K99" i="30"/>
  <c r="T15" i="14"/>
  <c r="AF24"/>
  <c r="T25"/>
  <c r="U25"/>
  <c r="V25"/>
  <c r="W25"/>
  <c r="X25"/>
  <c r="Y25"/>
  <c r="Z25"/>
  <c r="AA25"/>
  <c r="AB25"/>
  <c r="AC25"/>
  <c r="AD25"/>
  <c r="AE25"/>
  <c r="Z5" i="16"/>
  <c r="V16" i="14"/>
  <c r="Z6" i="16"/>
  <c r="AB5"/>
  <c r="X16" i="14"/>
  <c r="AB6" i="16"/>
  <c r="AD5"/>
  <c r="Z16" i="14"/>
  <c r="AD6" i="16"/>
  <c r="AF5"/>
  <c r="AB16" i="14"/>
  <c r="AF6" i="16"/>
  <c r="AH5"/>
  <c r="AD16" i="14"/>
  <c r="AH6" i="16"/>
  <c r="AK16" i="14"/>
  <c r="AP6" i="16"/>
  <c r="AP5"/>
  <c r="AM16" i="14"/>
  <c r="AR6" i="16"/>
  <c r="AR5"/>
  <c r="AO16" i="14"/>
  <c r="AT6" i="16"/>
  <c r="AT5"/>
  <c r="AQ16" i="14"/>
  <c r="AV6" i="16"/>
  <c r="AV5"/>
  <c r="AS16" i="14"/>
  <c r="AX6" i="16"/>
  <c r="AX5"/>
  <c r="AU16" i="14"/>
  <c r="AZ6" i="16"/>
  <c r="AZ5"/>
  <c r="H8" i="12"/>
  <c r="H78" s="1"/>
  <c r="H12"/>
  <c r="F98" i="30"/>
  <c r="H110" i="12"/>
  <c r="H111" s="1"/>
  <c r="H46" i="23"/>
  <c r="AU50" i="14"/>
  <c r="AU52"/>
  <c r="AU44"/>
  <c r="AK50"/>
  <c r="AK52"/>
  <c r="AK44"/>
  <c r="L15"/>
  <c r="L66" i="12"/>
  <c r="L68" s="1"/>
  <c r="J99" i="30"/>
  <c r="L12" i="12"/>
  <c r="L13" s="1"/>
  <c r="L15" s="1"/>
  <c r="L16" s="1"/>
  <c r="N15" i="14"/>
  <c r="N66" i="12"/>
  <c r="L99" i="30"/>
  <c r="AK66" i="12"/>
  <c r="AW11"/>
  <c r="AX11" s="1"/>
  <c r="E8"/>
  <c r="E78" s="1"/>
  <c r="C98" i="30"/>
  <c r="E12" i="12"/>
  <c r="E110"/>
  <c r="E111" s="1"/>
  <c r="G8"/>
  <c r="G78" s="1"/>
  <c r="E98" i="30"/>
  <c r="G110" i="12"/>
  <c r="G111" s="1"/>
  <c r="G12"/>
  <c r="K8"/>
  <c r="K78" s="1"/>
  <c r="I98" i="30"/>
  <c r="K110" i="12"/>
  <c r="K111" s="1"/>
  <c r="K12"/>
  <c r="E66"/>
  <c r="E68" s="1"/>
  <c r="C99" i="30"/>
  <c r="G66" i="12"/>
  <c r="G68" s="1"/>
  <c r="E99" i="30"/>
  <c r="F153" i="14"/>
  <c r="G152"/>
  <c r="F157"/>
  <c r="G156"/>
  <c r="F161"/>
  <c r="G160"/>
  <c r="F165"/>
  <c r="G164"/>
  <c r="F169"/>
  <c r="G168"/>
  <c r="F173"/>
  <c r="G46" i="23"/>
  <c r="C95" i="2"/>
  <c r="H10" i="37"/>
  <c r="L49" i="2"/>
  <c r="U95"/>
  <c r="E124" i="3"/>
  <c r="F124"/>
  <c r="H124"/>
  <c r="AO34" i="16"/>
  <c r="AF34"/>
  <c r="AW34"/>
  <c r="W51" i="14"/>
  <c r="W44"/>
  <c r="AG34" i="16"/>
  <c r="AR34"/>
  <c r="AC34"/>
  <c r="AT34"/>
  <c r="AF48" i="14"/>
  <c r="X51"/>
  <c r="X44"/>
  <c r="Z51"/>
  <c r="Z44"/>
  <c r="AB51"/>
  <c r="AB44"/>
  <c r="AD51"/>
  <c r="AD44"/>
  <c r="AS44"/>
  <c r="AQ44"/>
  <c r="AO44"/>
  <c r="AM44"/>
  <c r="AL39"/>
  <c r="AV39"/>
  <c r="AN39"/>
  <c r="AP39"/>
  <c r="X8"/>
  <c r="X9"/>
  <c r="F49"/>
  <c r="G49"/>
  <c r="G82"/>
  <c r="H82"/>
  <c r="I82"/>
  <c r="J82"/>
  <c r="V84" i="12"/>
  <c r="AL47" i="14"/>
  <c r="AM47"/>
  <c r="AN47"/>
  <c r="AO47"/>
  <c r="AP47"/>
  <c r="AQ47"/>
  <c r="AR47"/>
  <c r="AS47"/>
  <c r="AT47"/>
  <c r="AU47"/>
  <c r="AU10" i="12"/>
  <c r="AT22" i="14"/>
  <c r="AT66"/>
  <c r="AT10" i="12"/>
  <c r="AS22" i="14"/>
  <c r="AS66"/>
  <c r="AS10" i="12"/>
  <c r="AR22" i="14"/>
  <c r="AR66"/>
  <c r="AR10" i="12"/>
  <c r="AQ22" i="14"/>
  <c r="AQ66"/>
  <c r="AP10" i="12"/>
  <c r="AO22" i="14"/>
  <c r="AO66"/>
  <c r="AN10" i="12"/>
  <c r="AM22" i="14"/>
  <c r="AM66"/>
  <c r="H168"/>
  <c r="G169"/>
  <c r="H164"/>
  <c r="G165"/>
  <c r="H160"/>
  <c r="G161"/>
  <c r="H156"/>
  <c r="G157"/>
  <c r="H152"/>
  <c r="G153"/>
  <c r="K13" i="12"/>
  <c r="K15" s="1"/>
  <c r="K16" s="1"/>
  <c r="K26"/>
  <c r="G13"/>
  <c r="G15" s="1"/>
  <c r="G16" s="1"/>
  <c r="G26"/>
  <c r="Q5" i="16"/>
  <c r="H13" i="12"/>
  <c r="H15" s="1"/>
  <c r="H16" s="1"/>
  <c r="H26"/>
  <c r="X5" i="16"/>
  <c r="AF15" i="14"/>
  <c r="AJ5" i="16"/>
  <c r="T16" i="14"/>
  <c r="X6" i="16"/>
  <c r="AP7" i="14"/>
  <c r="AO8"/>
  <c r="AO9"/>
  <c r="AK10" i="12"/>
  <c r="AJ22" i="14"/>
  <c r="AJ53"/>
  <c r="AK53"/>
  <c r="AJ66"/>
  <c r="W10" i="12"/>
  <c r="V22" i="14"/>
  <c r="V66"/>
  <c r="AD10" i="12"/>
  <c r="AC22" i="14"/>
  <c r="AC66"/>
  <c r="AB10" i="12"/>
  <c r="AA22" i="14"/>
  <c r="AA66"/>
  <c r="Z10" i="12"/>
  <c r="Y22" i="14"/>
  <c r="Y66"/>
  <c r="BA12" i="16"/>
  <c r="AX15"/>
  <c r="O17" i="14"/>
  <c r="R3" i="16"/>
  <c r="G126"/>
  <c r="G127" s="1"/>
  <c r="D27" i="14"/>
  <c r="E27"/>
  <c r="D30"/>
  <c r="D34"/>
  <c r="D17"/>
  <c r="G3" i="16"/>
  <c r="D14" i="14"/>
  <c r="D243" i="38"/>
  <c r="D106" i="14"/>
  <c r="E106"/>
  <c r="F106"/>
  <c r="E90"/>
  <c r="F90"/>
  <c r="AM49" i="2"/>
  <c r="B119"/>
  <c r="F139" i="14"/>
  <c r="F140"/>
  <c r="AO10" i="12"/>
  <c r="AN22" i="14"/>
  <c r="AN66"/>
  <c r="F24" i="29"/>
  <c r="AO5" i="16"/>
  <c r="AV15" i="14"/>
  <c r="BA5" i="16"/>
  <c r="AJ16" i="14"/>
  <c r="AO6" i="16"/>
  <c r="G5"/>
  <c r="P15" i="14"/>
  <c r="D16"/>
  <c r="AA7"/>
  <c r="Z8"/>
  <c r="Z9"/>
  <c r="J7"/>
  <c r="AV44"/>
  <c r="AJ45"/>
  <c r="AK45"/>
  <c r="AL45"/>
  <c r="AM45"/>
  <c r="AN45"/>
  <c r="AO45"/>
  <c r="AP45"/>
  <c r="AQ45"/>
  <c r="AR45"/>
  <c r="AS45"/>
  <c r="AT45"/>
  <c r="AU45"/>
  <c r="H58" i="23"/>
  <c r="H59"/>
  <c r="H66"/>
  <c r="H67"/>
  <c r="D111" i="12"/>
  <c r="D78"/>
  <c r="K25" i="16"/>
  <c r="K28"/>
  <c r="K22"/>
  <c r="K23"/>
  <c r="C22" i="4"/>
  <c r="E17" i="14"/>
  <c r="H7" i="16"/>
  <c r="H39" s="1"/>
  <c r="H3"/>
  <c r="H93"/>
  <c r="E113" i="3"/>
  <c r="E114"/>
  <c r="D114"/>
  <c r="AE17" i="14"/>
  <c r="AI7" i="16"/>
  <c r="AI3"/>
  <c r="AI93" s="1"/>
  <c r="AE14" i="14"/>
  <c r="AI4" i="16"/>
  <c r="F243" i="38"/>
  <c r="AW9" i="12"/>
  <c r="AM83"/>
  <c r="M18" i="5"/>
  <c r="L26"/>
  <c r="L31"/>
  <c r="L17"/>
  <c r="I21" i="4"/>
  <c r="H29"/>
  <c r="H19"/>
  <c r="E213" i="38"/>
  <c r="G170" i="14"/>
  <c r="G102"/>
  <c r="H102"/>
  <c r="I102"/>
  <c r="J102"/>
  <c r="K102"/>
  <c r="U10" i="12"/>
  <c r="T22" i="14"/>
  <c r="T53"/>
  <c r="U53"/>
  <c r="V53"/>
  <c r="T66"/>
  <c r="C124" i="3"/>
  <c r="AL40" i="14"/>
  <c r="AM40"/>
  <c r="AN40"/>
  <c r="AO40"/>
  <c r="AP40"/>
  <c r="AQ40"/>
  <c r="AR40"/>
  <c r="AS40"/>
  <c r="AT40"/>
  <c r="AU40"/>
  <c r="AD52"/>
  <c r="AB52"/>
  <c r="Z52"/>
  <c r="X52"/>
  <c r="AF51"/>
  <c r="V116" i="2"/>
  <c r="W52" i="14"/>
  <c r="E13" i="12"/>
  <c r="E15" s="1"/>
  <c r="E16" s="1"/>
  <c r="E26"/>
  <c r="O5" i="16"/>
  <c r="AL10" i="12"/>
  <c r="AK22" i="14"/>
  <c r="AK66"/>
  <c r="AV10" i="12"/>
  <c r="AU22" i="14"/>
  <c r="AU66"/>
  <c r="L5" i="16"/>
  <c r="S15"/>
  <c r="G25"/>
  <c r="G22"/>
  <c r="AB22"/>
  <c r="AB25"/>
  <c r="AB28"/>
  <c r="X22"/>
  <c r="AJ22"/>
  <c r="X25"/>
  <c r="AJ15"/>
  <c r="D175" i="14"/>
  <c r="D176"/>
  <c r="AF78" i="12"/>
  <c r="AF40"/>
  <c r="D147" i="14"/>
  <c r="D148"/>
  <c r="B243" i="38"/>
  <c r="D178" i="14"/>
  <c r="D179"/>
  <c r="D180"/>
  <c r="AF44"/>
  <c r="T45"/>
  <c r="U45"/>
  <c r="V45"/>
  <c r="W45"/>
  <c r="X45"/>
  <c r="Y45"/>
  <c r="Z45"/>
  <c r="AA45"/>
  <c r="AB45"/>
  <c r="AC45"/>
  <c r="AD45"/>
  <c r="AE45"/>
  <c r="AF39"/>
  <c r="U40"/>
  <c r="V40"/>
  <c r="W40"/>
  <c r="X40"/>
  <c r="Y40"/>
  <c r="Z40"/>
  <c r="AA40"/>
  <c r="AB40"/>
  <c r="AC40"/>
  <c r="AD40"/>
  <c r="AE40"/>
  <c r="V10" i="12"/>
  <c r="U22" i="14"/>
  <c r="U66"/>
  <c r="AM119" i="2"/>
  <c r="W83" i="12"/>
  <c r="AG9"/>
  <c r="AH9" s="1"/>
  <c r="E31" i="28"/>
  <c r="F18"/>
  <c r="E17"/>
  <c r="E26"/>
  <c r="C20" i="5"/>
  <c r="C28" s="1"/>
  <c r="C27"/>
  <c r="O130" i="3"/>
  <c r="F135" i="14"/>
  <c r="F136"/>
  <c r="F31" i="38"/>
  <c r="F277" s="1"/>
  <c r="F356" s="1"/>
  <c r="H118" i="14"/>
  <c r="H119"/>
  <c r="H122"/>
  <c r="J13" i="12"/>
  <c r="J15" s="1"/>
  <c r="J16" s="1"/>
  <c r="J26"/>
  <c r="K31" i="38"/>
  <c r="K277" s="1"/>
  <c r="K356" s="1"/>
  <c r="M118" i="14"/>
  <c r="M119" s="1"/>
  <c r="M122"/>
  <c r="H213" i="38"/>
  <c r="J170" i="14"/>
  <c r="J171"/>
  <c r="AQ10" i="12"/>
  <c r="AP22" i="14"/>
  <c r="AP66"/>
  <c r="K8" i="36"/>
  <c r="M5" i="16"/>
  <c r="H62" i="23"/>
  <c r="H63"/>
  <c r="N99" i="30"/>
  <c r="H13" i="23"/>
  <c r="D68" i="12"/>
  <c r="P66"/>
  <c r="F13"/>
  <c r="F15" s="1"/>
  <c r="F16" s="1"/>
  <c r="F26"/>
  <c r="D13"/>
  <c r="D15" s="1"/>
  <c r="D16" s="1"/>
  <c r="D26"/>
  <c r="N5" i="16"/>
  <c r="J5"/>
  <c r="E30" i="14"/>
  <c r="E31"/>
  <c r="E34"/>
  <c r="C243" i="38"/>
  <c r="E178" i="14"/>
  <c r="E179"/>
  <c r="T49" i="2"/>
  <c r="S94" i="16"/>
  <c r="E12" i="37"/>
  <c r="G213" i="38"/>
  <c r="I170" i="14"/>
  <c r="I171"/>
  <c r="W84" i="12"/>
  <c r="X84" s="1"/>
  <c r="Y84" s="1"/>
  <c r="Z84" s="1"/>
  <c r="AA84" s="1"/>
  <c r="AB84" s="1"/>
  <c r="AC84" s="1"/>
  <c r="AD84" s="1"/>
  <c r="AE84" s="1"/>
  <c r="AF84" s="1"/>
  <c r="AV50" i="14"/>
  <c r="K10" i="36"/>
  <c r="K139" i="3" s="1"/>
  <c r="AV51" i="14"/>
  <c r="AL52"/>
  <c r="AH11" i="12"/>
  <c r="C114" i="3"/>
  <c r="AF50" i="14"/>
  <c r="AM10" i="12"/>
  <c r="AL22" i="14"/>
  <c r="AL66"/>
  <c r="H18" i="23"/>
  <c r="AP13" i="14"/>
  <c r="AP26"/>
  <c r="M123"/>
  <c r="M124"/>
  <c r="F137"/>
  <c r="G136"/>
  <c r="G18" i="28"/>
  <c r="F31"/>
  <c r="F17"/>
  <c r="F26"/>
  <c r="V8" i="12"/>
  <c r="V12"/>
  <c r="V110"/>
  <c r="D181" i="14"/>
  <c r="E180"/>
  <c r="AF87" i="12"/>
  <c r="AJ25" i="16"/>
  <c r="X28"/>
  <c r="G23"/>
  <c r="S22"/>
  <c r="AU13" i="14"/>
  <c r="AU26"/>
  <c r="AL8" i="12"/>
  <c r="AL78" s="1"/>
  <c r="AL12"/>
  <c r="AL110"/>
  <c r="X10"/>
  <c r="W22" i="14"/>
  <c r="W66"/>
  <c r="Y10" i="12"/>
  <c r="X22" i="14"/>
  <c r="X66"/>
  <c r="AC10" i="12"/>
  <c r="AB22" i="14"/>
  <c r="AB66"/>
  <c r="U8" i="12"/>
  <c r="U110"/>
  <c r="U12"/>
  <c r="G171" i="14"/>
  <c r="G172"/>
  <c r="J21" i="4"/>
  <c r="I19"/>
  <c r="I29"/>
  <c r="AI39" i="16"/>
  <c r="AI107" s="1"/>
  <c r="C30" i="4"/>
  <c r="C23"/>
  <c r="C31" s="1"/>
  <c r="D87" i="12"/>
  <c r="D79"/>
  <c r="E79" s="1"/>
  <c r="F79" s="1"/>
  <c r="G79" s="1"/>
  <c r="B2" i="29"/>
  <c r="K7" i="14"/>
  <c r="AB7"/>
  <c r="AA8"/>
  <c r="AA9"/>
  <c r="S5" i="16"/>
  <c r="G24" i="29"/>
  <c r="AN13" i="14"/>
  <c r="AN26"/>
  <c r="F141"/>
  <c r="G140"/>
  <c r="Y13"/>
  <c r="Y26"/>
  <c r="AB8" i="12"/>
  <c r="AB12"/>
  <c r="AB110"/>
  <c r="AC13" i="14"/>
  <c r="AC26"/>
  <c r="W8" i="12"/>
  <c r="W110"/>
  <c r="W12"/>
  <c r="AJ13" i="14"/>
  <c r="AJ23"/>
  <c r="AK23"/>
  <c r="AL23"/>
  <c r="AM23"/>
  <c r="AN23"/>
  <c r="AO23"/>
  <c r="AP23"/>
  <c r="AQ23"/>
  <c r="AR23"/>
  <c r="AS23"/>
  <c r="AT23"/>
  <c r="AU23"/>
  <c r="AV22"/>
  <c r="AJ26"/>
  <c r="H153"/>
  <c r="I152"/>
  <c r="H157"/>
  <c r="I156"/>
  <c r="H161"/>
  <c r="I160"/>
  <c r="H165"/>
  <c r="I164"/>
  <c r="H169"/>
  <c r="I168"/>
  <c r="AM13"/>
  <c r="AM26"/>
  <c r="AP8" i="12"/>
  <c r="AP12"/>
  <c r="AP110"/>
  <c r="AQ13" i="14"/>
  <c r="AQ26"/>
  <c r="AS8" i="12"/>
  <c r="AS12"/>
  <c r="AS110"/>
  <c r="AS13" i="14"/>
  <c r="AS26"/>
  <c r="AU8" i="12"/>
  <c r="AU12"/>
  <c r="AU110"/>
  <c r="AF52" i="14"/>
  <c r="W53"/>
  <c r="X53"/>
  <c r="Y53"/>
  <c r="Z53"/>
  <c r="AA53"/>
  <c r="AB53"/>
  <c r="AC53"/>
  <c r="AD53"/>
  <c r="AE53"/>
  <c r="AL53"/>
  <c r="AM53"/>
  <c r="AN53"/>
  <c r="AO53"/>
  <c r="AP53"/>
  <c r="AQ53"/>
  <c r="AR53"/>
  <c r="AS53"/>
  <c r="AT53"/>
  <c r="AU53"/>
  <c r="AQ8" i="12"/>
  <c r="AQ12"/>
  <c r="AQ110"/>
  <c r="H123" i="14"/>
  <c r="H124"/>
  <c r="D20" i="5"/>
  <c r="D28" s="1"/>
  <c r="D27"/>
  <c r="U13" i="14"/>
  <c r="U26"/>
  <c r="D149"/>
  <c r="B216" i="22"/>
  <c r="E148" i="14"/>
  <c r="D177"/>
  <c r="E176"/>
  <c r="S25" i="16"/>
  <c r="G28"/>
  <c r="AV8" i="12"/>
  <c r="AV12"/>
  <c r="AV110"/>
  <c r="AK13" i="14"/>
  <c r="AK26"/>
  <c r="AA10" i="12"/>
  <c r="Z22" i="14"/>
  <c r="Z66"/>
  <c r="AF66"/>
  <c r="AE10" i="12"/>
  <c r="AD22" i="14"/>
  <c r="AD66"/>
  <c r="T67"/>
  <c r="U67"/>
  <c r="V67"/>
  <c r="W67"/>
  <c r="X67"/>
  <c r="Y67"/>
  <c r="Z67"/>
  <c r="AA67"/>
  <c r="AB67"/>
  <c r="AC67"/>
  <c r="AD67"/>
  <c r="AE67"/>
  <c r="T13"/>
  <c r="AF22"/>
  <c r="T23"/>
  <c r="U23"/>
  <c r="V23"/>
  <c r="W23"/>
  <c r="X23"/>
  <c r="Y23"/>
  <c r="Z23"/>
  <c r="AA23"/>
  <c r="AB23"/>
  <c r="AC23"/>
  <c r="T26"/>
  <c r="N18" i="5"/>
  <c r="M17"/>
  <c r="E16" i="14"/>
  <c r="G6" i="16"/>
  <c r="AO8" i="12"/>
  <c r="AO12"/>
  <c r="AO110"/>
  <c r="E14" i="14"/>
  <c r="G4" i="16"/>
  <c r="G7"/>
  <c r="D18" i="14"/>
  <c r="D31"/>
  <c r="D32"/>
  <c r="O11"/>
  <c r="R7" i="16"/>
  <c r="AX22"/>
  <c r="AX25"/>
  <c r="Z8" i="12"/>
  <c r="Z12"/>
  <c r="Z110"/>
  <c r="AA13" i="14"/>
  <c r="AA26"/>
  <c r="AD8" i="12"/>
  <c r="AD12"/>
  <c r="AD110"/>
  <c r="V13" i="14"/>
  <c r="V26"/>
  <c r="AJ67"/>
  <c r="AK67"/>
  <c r="AL67"/>
  <c r="AM67"/>
  <c r="AN67"/>
  <c r="AO67"/>
  <c r="AP67"/>
  <c r="AQ67"/>
  <c r="AR67"/>
  <c r="AS67"/>
  <c r="AT67"/>
  <c r="AU67"/>
  <c r="AV66"/>
  <c r="AK8" i="12"/>
  <c r="AK78" s="1"/>
  <c r="AW10"/>
  <c r="AK12"/>
  <c r="AK110"/>
  <c r="AQ7" i="14"/>
  <c r="AP8"/>
  <c r="AP9"/>
  <c r="AK90" i="16"/>
  <c r="AK89"/>
  <c r="AN8" i="12"/>
  <c r="AN12"/>
  <c r="AN110"/>
  <c r="AO13" i="14"/>
  <c r="AO26"/>
  <c r="AR8" i="12"/>
  <c r="AR12"/>
  <c r="AR110"/>
  <c r="AR13" i="14"/>
  <c r="AR26"/>
  <c r="AT8" i="12"/>
  <c r="AT12"/>
  <c r="AT110"/>
  <c r="AT13" i="14"/>
  <c r="AT26"/>
  <c r="AX9" i="12"/>
  <c r="AV52" i="14"/>
  <c r="AR78" i="12"/>
  <c r="AA17" i="14"/>
  <c r="AE7" i="16"/>
  <c r="AE3"/>
  <c r="AE93" s="1"/>
  <c r="AA14" i="14"/>
  <c r="AE4" i="16"/>
  <c r="T27" i="14"/>
  <c r="U27"/>
  <c r="V27"/>
  <c r="AD13"/>
  <c r="AD26"/>
  <c r="AA8" i="12"/>
  <c r="AA110"/>
  <c r="AA12"/>
  <c r="AV78"/>
  <c r="S28" i="16"/>
  <c r="E177" i="14"/>
  <c r="E149"/>
  <c r="C216" i="22"/>
  <c r="U17" i="14"/>
  <c r="Y7" i="16"/>
  <c r="Y3"/>
  <c r="U14" i="14"/>
  <c r="Y4" i="16"/>
  <c r="AQ78" i="12"/>
  <c r="AS78"/>
  <c r="AV3" i="16"/>
  <c r="AQ14" i="14"/>
  <c r="AV4" i="16"/>
  <c r="AQ17" i="14"/>
  <c r="AV7" i="16"/>
  <c r="AV39" s="1"/>
  <c r="J168" i="14"/>
  <c r="I169"/>
  <c r="J164"/>
  <c r="I165"/>
  <c r="J160"/>
  <c r="I161"/>
  <c r="J156"/>
  <c r="I157"/>
  <c r="J152"/>
  <c r="I153"/>
  <c r="AJ27"/>
  <c r="AK27"/>
  <c r="W78" i="12"/>
  <c r="W40"/>
  <c r="AC17" i="14"/>
  <c r="AG7" i="16"/>
  <c r="AG3"/>
  <c r="AG93"/>
  <c r="AC14" i="14"/>
  <c r="AG4" i="16"/>
  <c r="H140" i="14"/>
  <c r="T89" i="16"/>
  <c r="T90"/>
  <c r="AC7" i="14"/>
  <c r="AB8"/>
  <c r="AB9"/>
  <c r="L7"/>
  <c r="B62" i="22"/>
  <c r="D88" i="12"/>
  <c r="K21" i="4"/>
  <c r="J29"/>
  <c r="J19"/>
  <c r="AC8" i="12"/>
  <c r="AC110"/>
  <c r="AC12"/>
  <c r="X13" i="14"/>
  <c r="X26"/>
  <c r="X8" i="12"/>
  <c r="X12"/>
  <c r="X110"/>
  <c r="AJ28" i="16"/>
  <c r="AM8" i="12"/>
  <c r="AM12"/>
  <c r="AM110"/>
  <c r="AG10"/>
  <c r="AT17" i="14"/>
  <c r="AY7" i="16"/>
  <c r="AY3"/>
  <c r="AT14" i="14"/>
  <c r="AY4" i="16"/>
  <c r="AT3"/>
  <c r="AO14" i="14"/>
  <c r="AT4" i="16"/>
  <c r="AO17" i="14"/>
  <c r="AT7" i="16"/>
  <c r="AT39" s="1"/>
  <c r="AW8" i="12"/>
  <c r="AX10"/>
  <c r="P12" i="23"/>
  <c r="AD78" i="12"/>
  <c r="AD40"/>
  <c r="AT78"/>
  <c r="AR17" i="14"/>
  <c r="AW7" i="16"/>
  <c r="AW39" s="1"/>
  <c r="AW3"/>
  <c r="AR14" i="14"/>
  <c r="AW4" i="16"/>
  <c r="AN78" i="12"/>
  <c r="AR7" i="14"/>
  <c r="AQ8"/>
  <c r="AQ9"/>
  <c r="V17"/>
  <c r="Z7" i="16"/>
  <c r="V14" i="14"/>
  <c r="Z4" i="16"/>
  <c r="Z3"/>
  <c r="Z78" i="12"/>
  <c r="Z40"/>
  <c r="AX28" i="16"/>
  <c r="D33" i="14"/>
  <c r="E32"/>
  <c r="E18"/>
  <c r="G8" i="16"/>
  <c r="H4"/>
  <c r="AO78" i="12"/>
  <c r="H6" i="16"/>
  <c r="F16" i="14"/>
  <c r="O18" i="5"/>
  <c r="N17"/>
  <c r="T17" i="14"/>
  <c r="T14"/>
  <c r="X4" i="16"/>
  <c r="X3"/>
  <c r="AE8" i="12"/>
  <c r="AE110"/>
  <c r="AE12"/>
  <c r="Z13" i="14"/>
  <c r="Z26"/>
  <c r="AP3" i="16"/>
  <c r="AK14" i="14"/>
  <c r="AP4" i="16"/>
  <c r="AK17" i="14"/>
  <c r="AP7" i="16"/>
  <c r="AU78" i="12"/>
  <c r="AX3" i="16"/>
  <c r="AS14" i="14"/>
  <c r="AX4" i="16"/>
  <c r="AS17" i="14"/>
  <c r="AX7" i="16"/>
  <c r="AP78" i="12"/>
  <c r="AR3" i="16"/>
  <c r="AM14" i="14"/>
  <c r="AR4" i="16"/>
  <c r="AM17" i="14"/>
  <c r="AR7" i="16"/>
  <c r="AJ17" i="14"/>
  <c r="AO3" i="16"/>
  <c r="AJ14" i="14"/>
  <c r="AO4" i="16"/>
  <c r="AB78" i="12"/>
  <c r="AB40"/>
  <c r="Y17" i="14"/>
  <c r="AC7" i="16"/>
  <c r="AC3"/>
  <c r="AC93" s="1"/>
  <c r="Y14" i="14"/>
  <c r="AC4" i="16"/>
  <c r="AN17" i="14"/>
  <c r="AS7" i="16"/>
  <c r="AS3"/>
  <c r="AN14" i="14"/>
  <c r="AS4" i="16"/>
  <c r="H24" i="29"/>
  <c r="B7"/>
  <c r="AI40" i="16"/>
  <c r="AI29"/>
  <c r="H172" i="14"/>
  <c r="G173"/>
  <c r="U78" i="12"/>
  <c r="U40"/>
  <c r="AB13" i="14"/>
  <c r="AB26"/>
  <c r="Y8" i="12"/>
  <c r="Y110"/>
  <c r="Y12"/>
  <c r="W13" i="14"/>
  <c r="W26"/>
  <c r="AF26"/>
  <c r="AL87" i="12"/>
  <c r="AZ3" i="16"/>
  <c r="AU14" i="14"/>
  <c r="AZ4" i="16"/>
  <c r="AU17" i="14"/>
  <c r="AZ7" i="16"/>
  <c r="AJ62" i="22"/>
  <c r="E181" i="14"/>
  <c r="V78" i="12"/>
  <c r="V40"/>
  <c r="H18" i="28"/>
  <c r="G31"/>
  <c r="G17"/>
  <c r="G26"/>
  <c r="H136" i="14"/>
  <c r="AP17"/>
  <c r="AU7" i="16"/>
  <c r="AU39" s="1"/>
  <c r="AU3"/>
  <c r="AP14" i="14"/>
  <c r="AU4" i="16"/>
  <c r="AL13" i="14"/>
  <c r="AV13"/>
  <c r="BA3" i="16"/>
  <c r="AL26" i="14"/>
  <c r="AV26"/>
  <c r="AW12" i="12"/>
  <c r="AD23" i="14"/>
  <c r="AE23"/>
  <c r="T25" i="16"/>
  <c r="AG12" i="12"/>
  <c r="L11" i="23" s="1"/>
  <c r="AK25" i="16"/>
  <c r="I136" i="14"/>
  <c r="I18" i="28"/>
  <c r="H31"/>
  <c r="H17"/>
  <c r="H26"/>
  <c r="W17" i="14"/>
  <c r="AA7" i="16"/>
  <c r="AA3"/>
  <c r="W14" i="14"/>
  <c r="AA4" i="16"/>
  <c r="I24" i="29"/>
  <c r="AB87" i="12"/>
  <c r="AX39" i="16"/>
  <c r="AX29" s="1"/>
  <c r="Z17" i="14"/>
  <c r="AD7" i="16"/>
  <c r="Z14" i="14"/>
  <c r="AD4" i="16"/>
  <c r="AD3"/>
  <c r="AD93" s="1"/>
  <c r="G16" i="14"/>
  <c r="I6" i="16"/>
  <c r="H8"/>
  <c r="AW107"/>
  <c r="AW40"/>
  <c r="AW29"/>
  <c r="AT87" i="12"/>
  <c r="L12" i="23"/>
  <c r="AG8" i="12"/>
  <c r="AX8" s="1"/>
  <c r="AM78"/>
  <c r="AC78"/>
  <c r="AC40"/>
  <c r="B92" i="22"/>
  <c r="I140" i="14"/>
  <c r="AG39" i="16"/>
  <c r="AG107" s="1"/>
  <c r="AF13" i="14"/>
  <c r="AG110" i="12"/>
  <c r="AW110"/>
  <c r="AX12"/>
  <c r="P11" i="23"/>
  <c r="AL17" i="14"/>
  <c r="AQ7" i="16"/>
  <c r="AQ3"/>
  <c r="AL14" i="14"/>
  <c r="AQ4" i="16"/>
  <c r="V87" i="12"/>
  <c r="AZ39" i="16"/>
  <c r="AP62" i="22"/>
  <c r="Y78" i="12"/>
  <c r="Y40"/>
  <c r="AB17" i="14"/>
  <c r="AF7" i="16"/>
  <c r="AB14" i="14"/>
  <c r="AF4" i="16"/>
  <c r="AF3"/>
  <c r="AF93" s="1"/>
  <c r="U87" i="12"/>
  <c r="U79"/>
  <c r="V79" s="1"/>
  <c r="W79" s="1"/>
  <c r="H173" i="14"/>
  <c r="I172"/>
  <c r="AI108" i="16"/>
  <c r="AO7"/>
  <c r="AV17" i="14"/>
  <c r="BA7" i="16"/>
  <c r="AJ18" i="14"/>
  <c r="AR39" i="16"/>
  <c r="AP87" i="12"/>
  <c r="AP39" i="16"/>
  <c r="AE78" i="12"/>
  <c r="AE40"/>
  <c r="X7" i="16"/>
  <c r="T18" i="14"/>
  <c r="P18" i="5"/>
  <c r="O17"/>
  <c r="AO87" i="12"/>
  <c r="E33" i="14"/>
  <c r="Z87" i="12"/>
  <c r="AS7" i="14"/>
  <c r="AR8"/>
  <c r="AR9"/>
  <c r="AN87" i="12"/>
  <c r="AD87"/>
  <c r="AY39" i="16"/>
  <c r="AK26"/>
  <c r="AK27"/>
  <c r="X78" i="12"/>
  <c r="X40"/>
  <c r="X17" i="14"/>
  <c r="AB7" i="16"/>
  <c r="X14" i="14"/>
  <c r="AB4" i="16"/>
  <c r="AB3"/>
  <c r="AB93" s="1"/>
  <c r="L21" i="4"/>
  <c r="K19"/>
  <c r="M7" i="14"/>
  <c r="AD7"/>
  <c r="AD8"/>
  <c r="AD9"/>
  <c r="AC8"/>
  <c r="AC9"/>
  <c r="W87" i="12"/>
  <c r="J153" i="14"/>
  <c r="K152"/>
  <c r="J157"/>
  <c r="K156"/>
  <c r="J161"/>
  <c r="K160"/>
  <c r="J165"/>
  <c r="K164"/>
  <c r="J169"/>
  <c r="K168"/>
  <c r="AV107" i="16"/>
  <c r="AV40"/>
  <c r="AV29"/>
  <c r="T27"/>
  <c r="T26"/>
  <c r="AV87" i="12"/>
  <c r="AZ62" i="22" s="1"/>
  <c r="AA78" i="12"/>
  <c r="AA40"/>
  <c r="AD17" i="14"/>
  <c r="AH7" i="16"/>
  <c r="AD14" i="14"/>
  <c r="AH4" i="16"/>
  <c r="AH3"/>
  <c r="AH93" s="1"/>
  <c r="AR87" i="12"/>
  <c r="AK28" i="16"/>
  <c r="T28"/>
  <c r="AL27" i="14"/>
  <c r="AM27"/>
  <c r="AN27"/>
  <c r="AO27"/>
  <c r="AP27"/>
  <c r="AQ27"/>
  <c r="AR27"/>
  <c r="AS27"/>
  <c r="AT27"/>
  <c r="AU27"/>
  <c r="W27"/>
  <c r="X27"/>
  <c r="Y27"/>
  <c r="Z27"/>
  <c r="AA27"/>
  <c r="AB27"/>
  <c r="AC27"/>
  <c r="AD27"/>
  <c r="AE27"/>
  <c r="AH39" i="16"/>
  <c r="AH107" s="1"/>
  <c r="L168" i="14"/>
  <c r="K169"/>
  <c r="L164"/>
  <c r="K165"/>
  <c r="L160"/>
  <c r="K161"/>
  <c r="L156"/>
  <c r="K157"/>
  <c r="L152"/>
  <c r="K153"/>
  <c r="AR62" i="22"/>
  <c r="AT7" i="14"/>
  <c r="AT8"/>
  <c r="AT9"/>
  <c r="AS8"/>
  <c r="AS9"/>
  <c r="AD62" i="22"/>
  <c r="Q18" i="5"/>
  <c r="P17"/>
  <c r="AP107" i="16"/>
  <c r="AP40"/>
  <c r="AP29"/>
  <c r="AT62" i="22"/>
  <c r="AO8" i="16"/>
  <c r="AK18" i="14"/>
  <c r="AO39" i="16"/>
  <c r="J172" i="14"/>
  <c r="I173"/>
  <c r="Y87" i="12"/>
  <c r="F37" i="37"/>
  <c r="F38" s="1"/>
  <c r="AJ3" i="16"/>
  <c r="AG40"/>
  <c r="AG29"/>
  <c r="J140" i="14"/>
  <c r="AM87" i="12"/>
  <c r="AX62" i="22"/>
  <c r="AW108" i="16"/>
  <c r="J18" i="28"/>
  <c r="I31"/>
  <c r="I17"/>
  <c r="I26"/>
  <c r="AF17" i="14"/>
  <c r="AJ7" i="16"/>
  <c r="AK91" s="1"/>
  <c r="AV62" i="22"/>
  <c r="AA87" i="12"/>
  <c r="AV108" i="16"/>
  <c r="AA62" i="22"/>
  <c r="N7" i="14"/>
  <c r="L29" i="4"/>
  <c r="X87" i="12"/>
  <c r="AY107" i="16"/>
  <c r="AY40"/>
  <c r="AH62" i="22"/>
  <c r="AS62"/>
  <c r="U18" i="14"/>
  <c r="X8" i="16"/>
  <c r="AR107"/>
  <c r="AR40"/>
  <c r="AR29"/>
  <c r="Y62" i="22"/>
  <c r="U88" i="12"/>
  <c r="Y92" i="22" s="1"/>
  <c r="AZ107" i="16"/>
  <c r="AZ40"/>
  <c r="Z62" i="22"/>
  <c r="AQ39" i="16"/>
  <c r="J6"/>
  <c r="H16" i="14"/>
  <c r="AX107" i="16"/>
  <c r="AX108" s="1"/>
  <c r="AX40"/>
  <c r="AF62" i="22"/>
  <c r="J136" i="14"/>
  <c r="I16"/>
  <c r="K6" i="16"/>
  <c r="AZ108"/>
  <c r="AR108"/>
  <c r="J31" i="28"/>
  <c r="K18"/>
  <c r="J17"/>
  <c r="J26"/>
  <c r="AC62" i="22"/>
  <c r="AO107" i="16"/>
  <c r="AO40"/>
  <c r="AO29"/>
  <c r="R18" i="5"/>
  <c r="Q17"/>
  <c r="AH40" i="16"/>
  <c r="AH29"/>
  <c r="K136" i="14"/>
  <c r="AQ107" i="16"/>
  <c r="AQ40"/>
  <c r="AQ29"/>
  <c r="V18" i="14"/>
  <c r="Y8" i="16"/>
  <c r="AY108"/>
  <c r="AB62" i="22"/>
  <c r="AE62"/>
  <c r="AQ62"/>
  <c r="K140" i="14"/>
  <c r="AG108" i="16"/>
  <c r="AK88"/>
  <c r="AK86"/>
  <c r="AK87"/>
  <c r="J173" i="14"/>
  <c r="AP8" i="16"/>
  <c r="AL18" i="14"/>
  <c r="AP108" i="16"/>
  <c r="L153" i="14"/>
  <c r="M152"/>
  <c r="M153" s="1"/>
  <c r="L157"/>
  <c r="M156"/>
  <c r="M157" s="1"/>
  <c r="L161"/>
  <c r="M160"/>
  <c r="M161" s="1"/>
  <c r="L165"/>
  <c r="M164"/>
  <c r="M165" s="1"/>
  <c r="L169"/>
  <c r="M168"/>
  <c r="M169"/>
  <c r="AQ8" i="16"/>
  <c r="AM18" i="14"/>
  <c r="AH108" i="16"/>
  <c r="S18" i="5"/>
  <c r="R17"/>
  <c r="W18" i="14"/>
  <c r="Z8" i="16"/>
  <c r="AQ108"/>
  <c r="AO108"/>
  <c r="K17" i="28"/>
  <c r="K26"/>
  <c r="L6" i="16"/>
  <c r="J16" i="14"/>
  <c r="K16"/>
  <c r="M6" i="16"/>
  <c r="X18" i="14"/>
  <c r="AA8" i="16"/>
  <c r="T18" i="5"/>
  <c r="T17" s="1"/>
  <c r="S17"/>
  <c r="AR8" i="16"/>
  <c r="AN18" i="14"/>
  <c r="U18" i="5"/>
  <c r="V18" s="1"/>
  <c r="N6" i="16"/>
  <c r="L16" i="14"/>
  <c r="AS8" i="16"/>
  <c r="AO18" i="14"/>
  <c r="Y18"/>
  <c r="AB8" i="16"/>
  <c r="Z18" i="14"/>
  <c r="AC8" i="16"/>
  <c r="M16" i="14"/>
  <c r="O6" i="16"/>
  <c r="AT8"/>
  <c r="AP18" i="14"/>
  <c r="AA18"/>
  <c r="AD8" i="16"/>
  <c r="AU8"/>
  <c r="AQ18" i="14"/>
  <c r="P6" i="16"/>
  <c r="N16" i="14"/>
  <c r="AV8" i="16"/>
  <c r="AR18" i="14"/>
  <c r="AB18"/>
  <c r="AE8" i="16"/>
  <c r="O16" i="14"/>
  <c r="R6" i="16"/>
  <c r="Q6"/>
  <c r="AC18" i="14"/>
  <c r="AF8" i="16"/>
  <c r="AW8"/>
  <c r="AS18" i="14"/>
  <c r="AX8" i="16"/>
  <c r="AT18" i="14"/>
  <c r="AD18"/>
  <c r="AG8" i="16"/>
  <c r="AE18" i="14"/>
  <c r="AI8" i="16"/>
  <c r="AH8"/>
  <c r="AY8"/>
  <c r="AU18" i="14"/>
  <c r="AZ8" i="16"/>
  <c r="J67" i="30"/>
  <c r="L26" i="12"/>
  <c r="L25"/>
  <c r="S62" i="16"/>
  <c r="G10" i="37"/>
  <c r="I10" s="1"/>
  <c r="J10" s="1"/>
  <c r="S69" i="16"/>
  <c r="S70"/>
  <c r="G26" i="37"/>
  <c r="E26"/>
  <c r="AJ94" i="16"/>
  <c r="AK85"/>
  <c r="AJ61"/>
  <c r="AJ62"/>
  <c r="H19" i="23"/>
  <c r="H17" s="1"/>
  <c r="E29" i="37"/>
  <c r="F26"/>
  <c r="N4" i="34"/>
  <c r="J23" i="29"/>
  <c r="J24"/>
  <c r="J2"/>
  <c r="J7" s="1"/>
  <c r="L87" i="12"/>
  <c r="L103" i="14"/>
  <c r="L89"/>
  <c r="L104"/>
  <c r="M104"/>
  <c r="P103"/>
  <c r="J62" i="22"/>
  <c r="K142" i="3"/>
  <c r="K153"/>
  <c r="M21" i="4"/>
  <c r="M19" s="1"/>
  <c r="L19"/>
  <c r="K29"/>
  <c r="M89" i="14"/>
  <c r="I50"/>
  <c r="M101"/>
  <c r="AT107" i="16"/>
  <c r="AT29"/>
  <c r="AT40"/>
  <c r="AS87" i="12"/>
  <c r="AC87"/>
  <c r="C356" i="38"/>
  <c r="C282"/>
  <c r="C283"/>
  <c r="G2" i="29"/>
  <c r="I87" i="12"/>
  <c r="M71"/>
  <c r="M73" s="1"/>
  <c r="K5" i="34"/>
  <c r="K13" i="29"/>
  <c r="K18" s="1"/>
  <c r="K6" i="30"/>
  <c r="AQ87" i="12"/>
  <c r="AE87"/>
  <c r="M356" i="38"/>
  <c r="M282"/>
  <c r="M283"/>
  <c r="M285" s="1"/>
  <c r="AG83" i="12"/>
  <c r="AG82" s="1"/>
  <c r="I26"/>
  <c r="N9" i="29"/>
  <c r="I52" i="14"/>
  <c r="L43"/>
  <c r="P43"/>
  <c r="H49"/>
  <c r="G141"/>
  <c r="G137"/>
  <c r="L46"/>
  <c r="L105"/>
  <c r="L102"/>
  <c r="F38"/>
  <c r="F51"/>
  <c r="F358" i="38"/>
  <c r="F282"/>
  <c r="F283"/>
  <c r="K52" i="14"/>
  <c r="M52"/>
  <c r="H52"/>
  <c r="P60"/>
  <c r="F42"/>
  <c r="L38"/>
  <c r="L42"/>
  <c r="L44"/>
  <c r="G123" i="38"/>
  <c r="I105" i="14"/>
  <c r="I146"/>
  <c r="I147"/>
  <c r="M22"/>
  <c r="M38" i="12"/>
  <c r="M42" s="1"/>
  <c r="K121" i="38"/>
  <c r="M66" i="14"/>
  <c r="M142"/>
  <c r="M143" s="1"/>
  <c r="M146"/>
  <c r="M147" s="1"/>
  <c r="H38" i="12"/>
  <c r="F121" i="38"/>
  <c r="H22" i="14"/>
  <c r="H66"/>
  <c r="H142"/>
  <c r="H143"/>
  <c r="H146"/>
  <c r="H147"/>
  <c r="H6"/>
  <c r="G8"/>
  <c r="G9"/>
  <c r="P37"/>
  <c r="F39"/>
  <c r="G22"/>
  <c r="G38" i="12"/>
  <c r="E121" i="38"/>
  <c r="G142" i="14"/>
  <c r="G143"/>
  <c r="G66"/>
  <c r="J22"/>
  <c r="J38" i="12"/>
  <c r="H121" i="38"/>
  <c r="J142" i="14"/>
  <c r="J143"/>
  <c r="J66"/>
  <c r="I38" i="12"/>
  <c r="G121" i="38"/>
  <c r="I142" i="14"/>
  <c r="I143"/>
  <c r="I66"/>
  <c r="I22"/>
  <c r="L39"/>
  <c r="K22"/>
  <c r="K38" i="12"/>
  <c r="I121" i="38"/>
  <c r="K142" i="14"/>
  <c r="K143"/>
  <c r="K66"/>
  <c r="N38" i="12"/>
  <c r="L121" i="38"/>
  <c r="N66" i="14"/>
  <c r="L241" i="38"/>
  <c r="N22" i="14"/>
  <c r="D358" i="38"/>
  <c r="I355"/>
  <c r="G355"/>
  <c r="E355"/>
  <c r="P73" i="14"/>
  <c r="G74"/>
  <c r="H74"/>
  <c r="I74"/>
  <c r="J74"/>
  <c r="K74"/>
  <c r="L74"/>
  <c r="M74"/>
  <c r="G114"/>
  <c r="G115"/>
  <c r="E4" i="38"/>
  <c r="G89" i="14"/>
  <c r="J89"/>
  <c r="J114"/>
  <c r="J115"/>
  <c r="H4" i="38"/>
  <c r="I213"/>
  <c r="K170" i="14"/>
  <c r="K114"/>
  <c r="K115"/>
  <c r="I4" i="38"/>
  <c r="P4" i="14"/>
  <c r="L48"/>
  <c r="K81"/>
  <c r="K82"/>
  <c r="L82"/>
  <c r="M82"/>
  <c r="F46"/>
  <c r="M105"/>
  <c r="P101"/>
  <c r="M170"/>
  <c r="M102"/>
  <c r="AU62" i="22"/>
  <c r="G7" i="29"/>
  <c r="AW62" i="22"/>
  <c r="M362" i="38"/>
  <c r="AI62" i="22"/>
  <c r="G62"/>
  <c r="AG62"/>
  <c r="AG87" i="12"/>
  <c r="AT108" i="16"/>
  <c r="I49" i="14"/>
  <c r="H137"/>
  <c r="H141"/>
  <c r="L126"/>
  <c r="L127"/>
  <c r="L130"/>
  <c r="L131"/>
  <c r="J61" i="38"/>
  <c r="J278" s="1"/>
  <c r="J357" s="1"/>
  <c r="L51" i="14"/>
  <c r="P51"/>
  <c r="P38"/>
  <c r="F362" i="38"/>
  <c r="F285"/>
  <c r="J31"/>
  <c r="J277" s="1"/>
  <c r="L118" i="14"/>
  <c r="L119"/>
  <c r="L122"/>
  <c r="P42"/>
  <c r="F44"/>
  <c r="D61" i="38"/>
  <c r="D278" s="1"/>
  <c r="P46" i="14"/>
  <c r="N61" i="38"/>
  <c r="F130" i="14"/>
  <c r="F47"/>
  <c r="G47"/>
  <c r="H47"/>
  <c r="I47"/>
  <c r="J47"/>
  <c r="K47"/>
  <c r="L47"/>
  <c r="M47"/>
  <c r="N47"/>
  <c r="O47"/>
  <c r="F126"/>
  <c r="L138"/>
  <c r="P48"/>
  <c r="N91" i="38"/>
  <c r="J91"/>
  <c r="J279" s="1"/>
  <c r="L134" i="14"/>
  <c r="G146"/>
  <c r="G147"/>
  <c r="E123" i="38"/>
  <c r="G90" i="14"/>
  <c r="H90"/>
  <c r="I90"/>
  <c r="J90"/>
  <c r="G105"/>
  <c r="N110" i="12"/>
  <c r="N12"/>
  <c r="N13" s="1"/>
  <c r="N15" s="1"/>
  <c r="N16" s="1"/>
  <c r="N8"/>
  <c r="L98" i="30"/>
  <c r="K42" i="12"/>
  <c r="J2" i="38"/>
  <c r="J276" s="1"/>
  <c r="L41" i="14"/>
  <c r="L110"/>
  <c r="L111"/>
  <c r="L114"/>
  <c r="L115"/>
  <c r="I13"/>
  <c r="I26"/>
  <c r="I42" i="12"/>
  <c r="J42"/>
  <c r="G174" i="14"/>
  <c r="G175"/>
  <c r="E241" i="38"/>
  <c r="G13" i="14"/>
  <c r="G26"/>
  <c r="D2" i="38"/>
  <c r="D276" s="1"/>
  <c r="F40" i="14"/>
  <c r="G40"/>
  <c r="H40"/>
  <c r="I40"/>
  <c r="J40"/>
  <c r="K40"/>
  <c r="L40"/>
  <c r="M40"/>
  <c r="N40" s="1"/>
  <c r="O40" s="1"/>
  <c r="F41"/>
  <c r="F110"/>
  <c r="P39"/>
  <c r="N2" i="38"/>
  <c r="F114" i="14"/>
  <c r="H8"/>
  <c r="H9"/>
  <c r="I6"/>
  <c r="H13"/>
  <c r="H26"/>
  <c r="H42" i="12"/>
  <c r="M8"/>
  <c r="K98" i="30"/>
  <c r="P10" i="12"/>
  <c r="M110"/>
  <c r="I63" i="38"/>
  <c r="K130" i="14"/>
  <c r="K131"/>
  <c r="P81"/>
  <c r="K171"/>
  <c r="K172"/>
  <c r="J105"/>
  <c r="J146"/>
  <c r="J147"/>
  <c r="H123" i="38"/>
  <c r="N13" i="14"/>
  <c r="N26"/>
  <c r="N30"/>
  <c r="N31" s="1"/>
  <c r="I241" i="38"/>
  <c r="K174" i="14"/>
  <c r="K175"/>
  <c r="K26"/>
  <c r="K30"/>
  <c r="K31"/>
  <c r="K13"/>
  <c r="G241" i="38"/>
  <c r="I174" i="14"/>
  <c r="I175"/>
  <c r="J174"/>
  <c r="J175"/>
  <c r="H241" i="38"/>
  <c r="J13" i="14"/>
  <c r="J26"/>
  <c r="J30"/>
  <c r="J31"/>
  <c r="G42" i="12"/>
  <c r="H178" i="14"/>
  <c r="H179"/>
  <c r="H174"/>
  <c r="H175"/>
  <c r="F241" i="38"/>
  <c r="M174" i="14"/>
  <c r="M175" s="1"/>
  <c r="K241" i="38"/>
  <c r="M26" i="14"/>
  <c r="M30"/>
  <c r="M31" s="1"/>
  <c r="M13"/>
  <c r="G243" i="38"/>
  <c r="I178" i="14"/>
  <c r="I179"/>
  <c r="K89"/>
  <c r="L50"/>
  <c r="L52"/>
  <c r="F50"/>
  <c r="M171"/>
  <c r="M178"/>
  <c r="P41"/>
  <c r="J49"/>
  <c r="I141"/>
  <c r="I137"/>
  <c r="F122"/>
  <c r="D31" i="38"/>
  <c r="D277" s="1"/>
  <c r="D356" s="1"/>
  <c r="P44" i="14"/>
  <c r="N31" i="38"/>
  <c r="F118" i="14"/>
  <c r="F45"/>
  <c r="G45"/>
  <c r="L123"/>
  <c r="L124"/>
  <c r="F52"/>
  <c r="P50"/>
  <c r="N3" i="16"/>
  <c r="K17" i="14"/>
  <c r="N7" i="16"/>
  <c r="N39" s="1"/>
  <c r="H243" i="38"/>
  <c r="J178" i="14"/>
  <c r="J179"/>
  <c r="M111" i="12"/>
  <c r="P110"/>
  <c r="H12" i="23"/>
  <c r="H25" s="1"/>
  <c r="N98" i="30"/>
  <c r="AH10" i="12"/>
  <c r="M78"/>
  <c r="P8"/>
  <c r="K3" i="16"/>
  <c r="H17" i="14"/>
  <c r="K7" i="16"/>
  <c r="K39" s="1"/>
  <c r="J3"/>
  <c r="J93" s="1"/>
  <c r="G17" i="14"/>
  <c r="J7" i="16"/>
  <c r="J39" s="1"/>
  <c r="L3"/>
  <c r="I17" i="14"/>
  <c r="L7" i="16"/>
  <c r="N78" i="12"/>
  <c r="G178" i="14"/>
  <c r="G179"/>
  <c r="E243" i="38"/>
  <c r="G106" i="14"/>
  <c r="H106"/>
  <c r="I106"/>
  <c r="J106"/>
  <c r="L135"/>
  <c r="L136"/>
  <c r="F128"/>
  <c r="F127"/>
  <c r="F131"/>
  <c r="F132"/>
  <c r="L22"/>
  <c r="L66"/>
  <c r="L38" i="12"/>
  <c r="J121" i="38"/>
  <c r="L142" i="14"/>
  <c r="L143"/>
  <c r="L146"/>
  <c r="L147"/>
  <c r="K105"/>
  <c r="K146"/>
  <c r="K147"/>
  <c r="I123" i="38"/>
  <c r="P3" i="16"/>
  <c r="AB11" i="14"/>
  <c r="AC11"/>
  <c r="M17"/>
  <c r="M3" i="16"/>
  <c r="J17" i="14"/>
  <c r="M7" i="16"/>
  <c r="Q3"/>
  <c r="N17" i="14"/>
  <c r="K173"/>
  <c r="L172"/>
  <c r="M13" i="12"/>
  <c r="M15" s="1"/>
  <c r="M16" s="1"/>
  <c r="P12"/>
  <c r="H11" i="23" s="1"/>
  <c r="H30" i="14"/>
  <c r="H31"/>
  <c r="H34"/>
  <c r="J6"/>
  <c r="I8"/>
  <c r="I9"/>
  <c r="F115"/>
  <c r="F116"/>
  <c r="F111"/>
  <c r="F112"/>
  <c r="G30"/>
  <c r="G31"/>
  <c r="G34"/>
  <c r="I30"/>
  <c r="I31"/>
  <c r="I34"/>
  <c r="L139"/>
  <c r="L140"/>
  <c r="P89"/>
  <c r="K90"/>
  <c r="L90"/>
  <c r="M90"/>
  <c r="M179"/>
  <c r="K49"/>
  <c r="J141"/>
  <c r="J137"/>
  <c r="H45"/>
  <c r="G125"/>
  <c r="F123"/>
  <c r="F124"/>
  <c r="F125"/>
  <c r="F119"/>
  <c r="F120"/>
  <c r="M140"/>
  <c r="G112"/>
  <c r="F113"/>
  <c r="F117"/>
  <c r="G116"/>
  <c r="L173"/>
  <c r="M172"/>
  <c r="M173" s="1"/>
  <c r="Q7" i="16"/>
  <c r="N11" i="14"/>
  <c r="M11"/>
  <c r="P7" i="16"/>
  <c r="J241" i="38"/>
  <c r="L178" i="14"/>
  <c r="L179"/>
  <c r="L174"/>
  <c r="L175"/>
  <c r="F133"/>
  <c r="G132"/>
  <c r="M136"/>
  <c r="N87" i="12"/>
  <c r="L2" i="29"/>
  <c r="AH8" i="12"/>
  <c r="F38"/>
  <c r="D121" i="38"/>
  <c r="F53" i="14"/>
  <c r="G53"/>
  <c r="H53"/>
  <c r="I53"/>
  <c r="J53"/>
  <c r="K53"/>
  <c r="L53"/>
  <c r="M53"/>
  <c r="N53"/>
  <c r="O53"/>
  <c r="P52"/>
  <c r="N121" i="38"/>
  <c r="F146" i="14"/>
  <c r="F22"/>
  <c r="F66"/>
  <c r="F142"/>
  <c r="K106"/>
  <c r="L106"/>
  <c r="M106"/>
  <c r="K6"/>
  <c r="J8"/>
  <c r="J9"/>
  <c r="K178"/>
  <c r="K179"/>
  <c r="I243" i="38"/>
  <c r="P105" i="14"/>
  <c r="L42" i="12"/>
  <c r="L13" i="14"/>
  <c r="L26"/>
  <c r="L30"/>
  <c r="L31"/>
  <c r="F129"/>
  <c r="G128"/>
  <c r="M87" i="12"/>
  <c r="K62" i="22" s="1"/>
  <c r="M28" i="12"/>
  <c r="K2" i="29"/>
  <c r="K20" s="1"/>
  <c r="K141" i="14"/>
  <c r="K137"/>
  <c r="L49"/>
  <c r="I45"/>
  <c r="H125"/>
  <c r="F121"/>
  <c r="G120"/>
  <c r="G129"/>
  <c r="H128"/>
  <c r="L6"/>
  <c r="K8"/>
  <c r="K9"/>
  <c r="F67"/>
  <c r="G67"/>
  <c r="H67"/>
  <c r="I67"/>
  <c r="J67"/>
  <c r="K67"/>
  <c r="L67"/>
  <c r="M67"/>
  <c r="N67"/>
  <c r="O67"/>
  <c r="D241" i="38"/>
  <c r="F178" i="14"/>
  <c r="F174"/>
  <c r="P66"/>
  <c r="N241" i="38"/>
  <c r="F147" i="14"/>
  <c r="F148"/>
  <c r="F42" i="12"/>
  <c r="P38"/>
  <c r="L62" i="22"/>
  <c r="H112" i="14"/>
  <c r="G113"/>
  <c r="K7" i="29"/>
  <c r="O3" i="16"/>
  <c r="L17" i="14"/>
  <c r="O7" i="16"/>
  <c r="F143" i="14"/>
  <c r="F144"/>
  <c r="F26"/>
  <c r="F23"/>
  <c r="G23"/>
  <c r="H23"/>
  <c r="I23"/>
  <c r="J23"/>
  <c r="K23"/>
  <c r="L23"/>
  <c r="M23"/>
  <c r="N23"/>
  <c r="O23"/>
  <c r="F13"/>
  <c r="P22"/>
  <c r="L7" i="29"/>
  <c r="G133" i="14"/>
  <c r="H132"/>
  <c r="H116"/>
  <c r="G117"/>
  <c r="M49"/>
  <c r="L141"/>
  <c r="L137"/>
  <c r="I125"/>
  <c r="J45"/>
  <c r="H120"/>
  <c r="G121"/>
  <c r="H133"/>
  <c r="I132"/>
  <c r="G144"/>
  <c r="F145"/>
  <c r="D215" i="22"/>
  <c r="F149" i="14"/>
  <c r="G148"/>
  <c r="D216" i="22"/>
  <c r="F179" i="14"/>
  <c r="F180"/>
  <c r="M6"/>
  <c r="L8"/>
  <c r="L9"/>
  <c r="H117"/>
  <c r="I116"/>
  <c r="I3" i="16"/>
  <c r="P13" i="14"/>
  <c r="F14"/>
  <c r="F17"/>
  <c r="F27"/>
  <c r="G27"/>
  <c r="H27"/>
  <c r="I27"/>
  <c r="J27"/>
  <c r="K27"/>
  <c r="L27"/>
  <c r="M27"/>
  <c r="N27"/>
  <c r="O27"/>
  <c r="P26"/>
  <c r="F30"/>
  <c r="F34"/>
  <c r="H113"/>
  <c r="I112"/>
  <c r="F175"/>
  <c r="F176"/>
  <c r="I128"/>
  <c r="H129"/>
  <c r="N49"/>
  <c r="O49"/>
  <c r="M137"/>
  <c r="M141"/>
  <c r="H121"/>
  <c r="I120"/>
  <c r="K45"/>
  <c r="J125"/>
  <c r="J128"/>
  <c r="I129"/>
  <c r="G176"/>
  <c r="F177"/>
  <c r="I113"/>
  <c r="J112"/>
  <c r="F18"/>
  <c r="I7" i="16"/>
  <c r="P17" i="14"/>
  <c r="Q13"/>
  <c r="P53"/>
  <c r="F11" i="37"/>
  <c r="K45" i="23"/>
  <c r="S3" i="16"/>
  <c r="T87" s="1"/>
  <c r="K43" i="23"/>
  <c r="K44"/>
  <c r="F10" i="37"/>
  <c r="F12" s="1"/>
  <c r="I117" i="14"/>
  <c r="J116"/>
  <c r="N6"/>
  <c r="N8"/>
  <c r="N9" s="1"/>
  <c r="M8"/>
  <c r="M9"/>
  <c r="G149"/>
  <c r="H148"/>
  <c r="E216" i="22"/>
  <c r="E215"/>
  <c r="H144" i="14"/>
  <c r="G145"/>
  <c r="F31"/>
  <c r="F32"/>
  <c r="G14"/>
  <c r="I4" i="16"/>
  <c r="G180" i="14"/>
  <c r="F181"/>
  <c r="J132"/>
  <c r="I133"/>
  <c r="K125"/>
  <c r="L45"/>
  <c r="J120"/>
  <c r="I121"/>
  <c r="K46" i="23"/>
  <c r="J133" i="14"/>
  <c r="K132"/>
  <c r="F33"/>
  <c r="G32"/>
  <c r="T86" i="16"/>
  <c r="T85"/>
  <c r="T88"/>
  <c r="K51" i="23"/>
  <c r="K39"/>
  <c r="K49"/>
  <c r="K55"/>
  <c r="K65"/>
  <c r="K62"/>
  <c r="K58"/>
  <c r="K63"/>
  <c r="S7" i="16"/>
  <c r="K37" i="23"/>
  <c r="K50"/>
  <c r="K38"/>
  <c r="L38" s="1"/>
  <c r="K57"/>
  <c r="K61"/>
  <c r="K67"/>
  <c r="K66"/>
  <c r="K59"/>
  <c r="I8" i="16"/>
  <c r="G18" i="14"/>
  <c r="G177"/>
  <c r="H176"/>
  <c r="K128"/>
  <c r="J129"/>
  <c r="G181"/>
  <c r="H180"/>
  <c r="H14"/>
  <c r="J4" i="16"/>
  <c r="I144" i="14"/>
  <c r="H145"/>
  <c r="F215" i="22"/>
  <c r="H149" i="14"/>
  <c r="I148"/>
  <c r="F216" i="22"/>
  <c r="J117" i="14"/>
  <c r="K116"/>
  <c r="J113"/>
  <c r="K112"/>
  <c r="K120"/>
  <c r="J121"/>
  <c r="L125"/>
  <c r="M45"/>
  <c r="L112"/>
  <c r="M112"/>
  <c r="K113"/>
  <c r="L116"/>
  <c r="K117"/>
  <c r="I180"/>
  <c r="H181"/>
  <c r="I176"/>
  <c r="H177"/>
  <c r="K40" i="23"/>
  <c r="J148" i="14"/>
  <c r="I149"/>
  <c r="J144"/>
  <c r="I145"/>
  <c r="K4" i="16"/>
  <c r="I14" i="14"/>
  <c r="L128"/>
  <c r="K129"/>
  <c r="J8" i="16"/>
  <c r="H18" i="14"/>
  <c r="T91" i="16"/>
  <c r="T133"/>
  <c r="G33" i="14"/>
  <c r="H32"/>
  <c r="K133"/>
  <c r="L132"/>
  <c r="L120"/>
  <c r="K121"/>
  <c r="N45"/>
  <c r="O45"/>
  <c r="M125"/>
  <c r="L4" i="16"/>
  <c r="J14" i="14"/>
  <c r="L113"/>
  <c r="M113"/>
  <c r="L133"/>
  <c r="M132"/>
  <c r="M133" s="1"/>
  <c r="I32"/>
  <c r="H33"/>
  <c r="K8" i="16"/>
  <c r="I18" i="14"/>
  <c r="M128"/>
  <c r="M129"/>
  <c r="L129"/>
  <c r="K144"/>
  <c r="J145"/>
  <c r="K148"/>
  <c r="J149"/>
  <c r="J176"/>
  <c r="I177"/>
  <c r="I181"/>
  <c r="J180"/>
  <c r="L117"/>
  <c r="M120"/>
  <c r="M121" s="1"/>
  <c r="L121"/>
  <c r="K180"/>
  <c r="J181"/>
  <c r="K149"/>
  <c r="L148"/>
  <c r="K145"/>
  <c r="L144"/>
  <c r="J18"/>
  <c r="L8" i="16"/>
  <c r="M4"/>
  <c r="K14" i="14"/>
  <c r="K176"/>
  <c r="J177"/>
  <c r="J32"/>
  <c r="I33"/>
  <c r="J33"/>
  <c r="K32"/>
  <c r="K177"/>
  <c r="L176"/>
  <c r="L14"/>
  <c r="N4" i="16"/>
  <c r="L180" i="14"/>
  <c r="K181"/>
  <c r="K18"/>
  <c r="M8" i="16"/>
  <c r="L145" i="14"/>
  <c r="M144"/>
  <c r="M145" s="1"/>
  <c r="M148"/>
  <c r="M149" s="1"/>
  <c r="L149"/>
  <c r="N8" i="16"/>
  <c r="L18" i="14"/>
  <c r="L181"/>
  <c r="M180"/>
  <c r="M181" s="1"/>
  <c r="M14"/>
  <c r="O4" i="16"/>
  <c r="M176" i="14"/>
  <c r="M177" s="1"/>
  <c r="L177"/>
  <c r="L32"/>
  <c r="K33"/>
  <c r="L33"/>
  <c r="M32"/>
  <c r="M33" s="1"/>
  <c r="N14"/>
  <c r="P4" i="16"/>
  <c r="O8"/>
  <c r="M18" i="14"/>
  <c r="O14"/>
  <c r="R4" i="16"/>
  <c r="Q4"/>
  <c r="N18" i="14"/>
  <c r="P8" i="16"/>
  <c r="N32" i="14"/>
  <c r="N33" s="1"/>
  <c r="O18"/>
  <c r="R8" i="16"/>
  <c r="Q8"/>
  <c r="O32" i="14"/>
  <c r="O33" s="1"/>
  <c r="K355" i="38"/>
  <c r="K282"/>
  <c r="K283"/>
  <c r="Q105" i="16"/>
  <c r="N103" i="12"/>
  <c r="N109"/>
  <c r="N111" s="1"/>
  <c r="N68"/>
  <c r="N69" s="1"/>
  <c r="K37" i="37"/>
  <c r="K11"/>
  <c r="AK79" i="12" l="1"/>
  <c r="AK87"/>
  <c r="AW78"/>
  <c r="AW76" s="1"/>
  <c r="Q27" i="23" s="1"/>
  <c r="K286" i="38"/>
  <c r="H363"/>
  <c r="I363"/>
  <c r="G8" i="35"/>
  <c r="G7" s="1"/>
  <c r="C363" i="38"/>
  <c r="J284"/>
  <c r="F284"/>
  <c r="F286" s="1"/>
  <c r="F363"/>
  <c r="F361"/>
  <c r="C362"/>
  <c r="C361"/>
  <c r="L284"/>
  <c r="L359"/>
  <c r="L363" s="1"/>
  <c r="B284"/>
  <c r="N280"/>
  <c r="B359"/>
  <c r="B363" s="1"/>
  <c r="I358"/>
  <c r="I362" s="1"/>
  <c r="I283"/>
  <c r="I282"/>
  <c r="I284"/>
  <c r="G284"/>
  <c r="X36" i="12"/>
  <c r="AB5" i="22" s="1"/>
  <c r="I69" i="12"/>
  <c r="M360" i="38"/>
  <c r="K360"/>
  <c r="K363" s="1"/>
  <c r="D359"/>
  <c r="D363" s="1"/>
  <c r="C284"/>
  <c r="L142" i="3"/>
  <c r="L22" i="35"/>
  <c r="L26" i="28"/>
  <c r="K361" i="38"/>
  <c r="M286"/>
  <c r="N11" i="29"/>
  <c r="B157" i="16"/>
  <c r="B152"/>
  <c r="I190"/>
  <c r="B190"/>
  <c r="B145"/>
  <c r="B140"/>
  <c r="B178"/>
  <c r="O39"/>
  <c r="O93"/>
  <c r="N114" i="2"/>
  <c r="AG114" s="1"/>
  <c r="N31" i="5"/>
  <c r="N26"/>
  <c r="O87" i="12"/>
  <c r="M62" i="22" s="1"/>
  <c r="M2" i="29"/>
  <c r="M7" s="1"/>
  <c r="O62" i="3"/>
  <c r="O37"/>
  <c r="K113"/>
  <c r="O110"/>
  <c r="K87"/>
  <c r="K111"/>
  <c r="K121"/>
  <c r="K106"/>
  <c r="K94"/>
  <c r="K112"/>
  <c r="K114" s="1"/>
  <c r="K123"/>
  <c r="K98"/>
  <c r="K122"/>
  <c r="K150"/>
  <c r="K9" i="4"/>
  <c r="K10" s="1"/>
  <c r="K7" i="36" s="1"/>
  <c r="K6" s="1"/>
  <c r="K88" i="3"/>
  <c r="K89" s="1"/>
  <c r="O59"/>
  <c r="AT116" i="2"/>
  <c r="AT49"/>
  <c r="AT108" s="1"/>
  <c r="AS20" i="12" s="1"/>
  <c r="AS35" s="1"/>
  <c r="AN49" i="2"/>
  <c r="AX112"/>
  <c r="AX30"/>
  <c r="AA118"/>
  <c r="Y118"/>
  <c r="AB49"/>
  <c r="AF112"/>
  <c r="AG112" s="1"/>
  <c r="AF30"/>
  <c r="L91"/>
  <c r="E131" i="3"/>
  <c r="E132" s="1"/>
  <c r="E136" s="1"/>
  <c r="E137" s="1"/>
  <c r="F20" i="12"/>
  <c r="B49" i="2"/>
  <c r="B108" s="1"/>
  <c r="AO108"/>
  <c r="AN20" i="12" s="1"/>
  <c r="AN35" s="1"/>
  <c r="G20"/>
  <c r="F131" i="3"/>
  <c r="F132" s="1"/>
  <c r="F136" s="1"/>
  <c r="N115" i="2"/>
  <c r="AV111"/>
  <c r="AV93"/>
  <c r="AQ89"/>
  <c r="AQ93"/>
  <c r="AN111"/>
  <c r="AN93"/>
  <c r="AB93"/>
  <c r="AB111"/>
  <c r="AX75"/>
  <c r="AL89"/>
  <c r="AL91"/>
  <c r="AL113"/>
  <c r="X89"/>
  <c r="X91"/>
  <c r="X113"/>
  <c r="X119" s="1"/>
  <c r="AM93"/>
  <c r="AX67"/>
  <c r="AD93"/>
  <c r="AD95" s="1"/>
  <c r="AD70"/>
  <c r="AW36"/>
  <c r="AW111"/>
  <c r="AU36"/>
  <c r="AU111"/>
  <c r="AS36"/>
  <c r="AS111"/>
  <c r="AQ36"/>
  <c r="AX36" s="1"/>
  <c r="AY36" s="1"/>
  <c r="BA36" s="1"/>
  <c r="BB36" s="1"/>
  <c r="AQ111"/>
  <c r="AX34"/>
  <c r="AM111"/>
  <c r="AD36"/>
  <c r="AD49" s="1"/>
  <c r="AD108" s="1"/>
  <c r="AE20" i="12" s="1"/>
  <c r="AE35" s="1"/>
  <c r="AD111" i="2"/>
  <c r="AC113"/>
  <c r="AC119" s="1"/>
  <c r="AC26"/>
  <c r="AC49" s="1"/>
  <c r="AC108" s="1"/>
  <c r="AD20" i="12" s="1"/>
  <c r="AD35" s="1"/>
  <c r="AF7" i="2"/>
  <c r="U113"/>
  <c r="N34"/>
  <c r="C36"/>
  <c r="C49" s="1"/>
  <c r="C108" s="1"/>
  <c r="D89"/>
  <c r="N75"/>
  <c r="F93"/>
  <c r="F95" s="1"/>
  <c r="F108" s="1"/>
  <c r="F111"/>
  <c r="I111"/>
  <c r="I36"/>
  <c r="J26"/>
  <c r="J49" s="1"/>
  <c r="J108" s="1"/>
  <c r="J113"/>
  <c r="K93"/>
  <c r="K111"/>
  <c r="K70"/>
  <c r="K89"/>
  <c r="K113"/>
  <c r="K119" s="1"/>
  <c r="AE95"/>
  <c r="AE108" s="1"/>
  <c r="AF20" i="12" s="1"/>
  <c r="AF35" s="1"/>
  <c r="AF36" s="1"/>
  <c r="AJ5" i="22" s="1"/>
  <c r="AX106" i="2"/>
  <c r="AY106" s="1"/>
  <c r="BA106" s="1"/>
  <c r="BB106" s="1"/>
  <c r="AF87"/>
  <c r="D113"/>
  <c r="F113"/>
  <c r="F119" s="1"/>
  <c r="G49"/>
  <c r="L93"/>
  <c r="L95" s="1"/>
  <c r="L111"/>
  <c r="N106"/>
  <c r="O106" s="1"/>
  <c r="Q106" s="1"/>
  <c r="R106" s="1"/>
  <c r="AU89"/>
  <c r="AU93"/>
  <c r="AU95" s="1"/>
  <c r="AR111"/>
  <c r="AR93"/>
  <c r="AX87"/>
  <c r="AM89"/>
  <c r="X93"/>
  <c r="X111"/>
  <c r="AV113"/>
  <c r="AV119" s="1"/>
  <c r="AV89"/>
  <c r="AV91"/>
  <c r="AV95" s="1"/>
  <c r="AR113"/>
  <c r="AR119" s="1"/>
  <c r="AR89"/>
  <c r="AR91"/>
  <c r="AR95" s="1"/>
  <c r="AN113"/>
  <c r="AN119" s="1"/>
  <c r="AN89"/>
  <c r="AX79"/>
  <c r="AN91"/>
  <c r="AN95" s="1"/>
  <c r="AN108" s="1"/>
  <c r="AM20" i="12" s="1"/>
  <c r="AM35" s="1"/>
  <c r="AM36" s="1"/>
  <c r="AE89" i="2"/>
  <c r="AE113"/>
  <c r="AB89"/>
  <c r="AB91"/>
  <c r="AB95" s="1"/>
  <c r="AB113"/>
  <c r="AB119" s="1"/>
  <c r="T89"/>
  <c r="T113"/>
  <c r="T93"/>
  <c r="T111"/>
  <c r="AF34"/>
  <c r="W111"/>
  <c r="AP26"/>
  <c r="AP115"/>
  <c r="AW26"/>
  <c r="AW49" s="1"/>
  <c r="AW108" s="1"/>
  <c r="AV20" i="12" s="1"/>
  <c r="AV35" s="1"/>
  <c r="AW113" i="2"/>
  <c r="AW119" s="1"/>
  <c r="AU26"/>
  <c r="AU49" s="1"/>
  <c r="AU113"/>
  <c r="AU119" s="1"/>
  <c r="AS26"/>
  <c r="AS49" s="1"/>
  <c r="AS108" s="1"/>
  <c r="AR20" i="12" s="1"/>
  <c r="AR35" s="1"/>
  <c r="AS113" i="2"/>
  <c r="AS119" s="1"/>
  <c r="AQ26"/>
  <c r="AQ49" s="1"/>
  <c r="AQ113"/>
  <c r="AQ119" s="1"/>
  <c r="Y113"/>
  <c r="Y26"/>
  <c r="Y49" s="1"/>
  <c r="Y108" s="1"/>
  <c r="Z20" i="12" s="1"/>
  <c r="Z35" s="1"/>
  <c r="E118" i="2"/>
  <c r="E113"/>
  <c r="E119" s="1"/>
  <c r="E89"/>
  <c r="G89"/>
  <c r="G113"/>
  <c r="G91"/>
  <c r="H36"/>
  <c r="H49" s="1"/>
  <c r="H108" s="1"/>
  <c r="H111"/>
  <c r="I113"/>
  <c r="I119" s="1"/>
  <c r="I26"/>
  <c r="I49" s="1"/>
  <c r="I108" s="1"/>
  <c r="M70"/>
  <c r="M93"/>
  <c r="M95" s="1"/>
  <c r="M111"/>
  <c r="M36"/>
  <c r="M113"/>
  <c r="M119" s="1"/>
  <c r="M26"/>
  <c r="M49" s="1"/>
  <c r="L108"/>
  <c r="M131" i="3" s="1"/>
  <c r="M132" s="1"/>
  <c r="M136" s="1"/>
  <c r="M137" s="1"/>
  <c r="AL116" i="2"/>
  <c r="AQ95"/>
  <c r="T70"/>
  <c r="AF70" s="1"/>
  <c r="AC111"/>
  <c r="AV49"/>
  <c r="AV108" s="1"/>
  <c r="AU20" i="12" s="1"/>
  <c r="AU35" s="1"/>
  <c r="AR49" i="2"/>
  <c r="AR108" s="1"/>
  <c r="AQ20" i="12" s="1"/>
  <c r="AQ35" s="1"/>
  <c r="AQ36" s="1"/>
  <c r="AB108" i="2"/>
  <c r="AC20" i="12" s="1"/>
  <c r="AC35" s="1"/>
  <c r="H89" i="2"/>
  <c r="J89"/>
  <c r="M89"/>
  <c r="AF63"/>
  <c r="AX104"/>
  <c r="AF100"/>
  <c r="U24"/>
  <c r="P45" i="26"/>
  <c r="P37"/>
  <c r="P29"/>
  <c r="P12"/>
  <c r="O34" i="3"/>
  <c r="O31"/>
  <c r="O74"/>
  <c r="O68"/>
  <c r="O18"/>
  <c r="O15"/>
  <c r="O3"/>
  <c r="O26" s="1"/>
  <c r="H87" i="12"/>
  <c r="F62" i="22" s="1"/>
  <c r="F2" i="29"/>
  <c r="F7" s="1"/>
  <c r="N281" i="38"/>
  <c r="E284"/>
  <c r="E360"/>
  <c r="E363" s="1"/>
  <c r="N284"/>
  <c r="H79" i="12"/>
  <c r="I79" s="1"/>
  <c r="AM84"/>
  <c r="AN84" s="1"/>
  <c r="AO84" s="1"/>
  <c r="AP84" s="1"/>
  <c r="AQ84" s="1"/>
  <c r="AR84" s="1"/>
  <c r="AS84" s="1"/>
  <c r="AT84" s="1"/>
  <c r="F8" i="35"/>
  <c r="F7" s="1"/>
  <c r="L111" i="12"/>
  <c r="J9" i="36"/>
  <c r="J8" s="1"/>
  <c r="I9"/>
  <c r="I8" s="1"/>
  <c r="H9"/>
  <c r="AS34" i="16"/>
  <c r="L34"/>
  <c r="L93" s="1"/>
  <c r="K285" i="38"/>
  <c r="AH12" i="12"/>
  <c r="C286" i="38"/>
  <c r="AS39" i="16"/>
  <c r="E42" i="37"/>
  <c r="F42" s="1"/>
  <c r="AB34" i="16"/>
  <c r="I188"/>
  <c r="I186"/>
  <c r="I184"/>
  <c r="I189"/>
  <c r="I187"/>
  <c r="I185"/>
  <c r="I183"/>
  <c r="AH7" i="5"/>
  <c r="AD7"/>
  <c r="AD7" i="6" s="1"/>
  <c r="AD8" s="1"/>
  <c r="AY134" i="16"/>
  <c r="AS46"/>
  <c r="AO46"/>
  <c r="AU134"/>
  <c r="AA7" i="5"/>
  <c r="AA8" s="1"/>
  <c r="AY122" i="16"/>
  <c r="AY123" s="1"/>
  <c r="AU67" i="12" s="1"/>
  <c r="AU68" s="1"/>
  <c r="AU69" s="1"/>
  <c r="AU71" s="1"/>
  <c r="AU28" s="1"/>
  <c r="AG10" i="22"/>
  <c r="AQ134" i="16"/>
  <c r="AT46"/>
  <c r="AQ46"/>
  <c r="AH122"/>
  <c r="AH123" s="1"/>
  <c r="AE67" i="12" s="1"/>
  <c r="AE103" s="1"/>
  <c r="K23" i="29"/>
  <c r="U17" i="5"/>
  <c r="W18"/>
  <c r="V17"/>
  <c r="N21" i="4"/>
  <c r="M116" i="14"/>
  <c r="M117" s="1"/>
  <c r="M115"/>
  <c r="AJ9" i="4"/>
  <c r="AJ10" s="1"/>
  <c r="O63" i="3"/>
  <c r="K95" i="2"/>
  <c r="K36"/>
  <c r="K49" s="1"/>
  <c r="O87" i="3"/>
  <c r="O88" s="1"/>
  <c r="O89" s="1"/>
  <c r="L127"/>
  <c r="O84"/>
  <c r="L59"/>
  <c r="L109"/>
  <c r="L121" s="1"/>
  <c r="L87"/>
  <c r="L88" s="1"/>
  <c r="L89" s="1"/>
  <c r="L128"/>
  <c r="L122"/>
  <c r="L106"/>
  <c r="L123"/>
  <c r="L94"/>
  <c r="L112"/>
  <c r="L114" s="1"/>
  <c r="O109"/>
  <c r="O111" s="1"/>
  <c r="O93"/>
  <c r="O22"/>
  <c r="L93"/>
  <c r="L119"/>
  <c r="O119" s="1"/>
  <c r="P117" s="1"/>
  <c r="L22"/>
  <c r="P116"/>
  <c r="O118"/>
  <c r="L98"/>
  <c r="Z112" i="16"/>
  <c r="AJ112" s="1"/>
  <c r="AJ111" s="1"/>
  <c r="W7" i="5"/>
  <c r="AJ10" i="22"/>
  <c r="AH10"/>
  <c r="AL7" i="5"/>
  <c r="AL7" i="6" s="1"/>
  <c r="AL8" s="1"/>
  <c r="AH134" i="16"/>
  <c r="AF46"/>
  <c r="AF45" s="1"/>
  <c r="AF134"/>
  <c r="AF54"/>
  <c r="AF53" s="1"/>
  <c r="AF105" s="1"/>
  <c r="AF106" s="1"/>
  <c r="AW134"/>
  <c r="AS134"/>
  <c r="AO134"/>
  <c r="AK7" i="5"/>
  <c r="AK7" i="6" s="1"/>
  <c r="AK8" s="1"/>
  <c r="Y9" i="4"/>
  <c r="Y10" s="1"/>
  <c r="Y7" i="5"/>
  <c r="Y7" i="6" s="1"/>
  <c r="Y8" s="1"/>
  <c r="AO122" i="16"/>
  <c r="AO123" s="1"/>
  <c r="AK67" i="12" s="1"/>
  <c r="AK103" s="1"/>
  <c r="AA10" i="22"/>
  <c r="Z46" i="16"/>
  <c r="Z45" s="1"/>
  <c r="Q9" i="4"/>
  <c r="Q10" s="1"/>
  <c r="H200" i="16"/>
  <c r="R9" i="4"/>
  <c r="R10" s="1"/>
  <c r="AZ25" i="16"/>
  <c r="AZ28" s="1"/>
  <c r="AZ29" s="1"/>
  <c r="AZ22"/>
  <c r="G356" i="38"/>
  <c r="G283"/>
  <c r="G282"/>
  <c r="G286" s="1"/>
  <c r="N29" i="16"/>
  <c r="N30" s="1"/>
  <c r="N40"/>
  <c r="N107"/>
  <c r="H142" i="3"/>
  <c r="H153"/>
  <c r="C285" i="38"/>
  <c r="AE39" i="16"/>
  <c r="AE107" s="1"/>
  <c r="E19" i="5"/>
  <c r="AU36" i="12"/>
  <c r="AC36"/>
  <c r="AG5" i="22" s="1"/>
  <c r="AW66" i="12"/>
  <c r="P13" i="23" s="1"/>
  <c r="G34" i="10"/>
  <c r="D65" i="12"/>
  <c r="D69" s="1"/>
  <c r="N93" i="16"/>
  <c r="AG40" i="12"/>
  <c r="AA36"/>
  <c r="AE5" i="22" s="1"/>
  <c r="AE36" i="12"/>
  <c r="AI5" i="22" s="1"/>
  <c r="E7" i="36"/>
  <c r="E6" s="1"/>
  <c r="D8" i="35"/>
  <c r="D7" s="1"/>
  <c r="H34" i="10"/>
  <c r="L69" i="12"/>
  <c r="L24" i="35"/>
  <c r="I39" i="16"/>
  <c r="R7" i="5"/>
  <c r="R7" i="28" s="1"/>
  <c r="R8" s="1"/>
  <c r="AA33" i="16"/>
  <c r="R6" i="35"/>
  <c r="R5" i="36" s="1"/>
  <c r="Y33" i="16"/>
  <c r="Y34" s="1"/>
  <c r="P6" i="35"/>
  <c r="P5" i="36" s="1"/>
  <c r="R33" i="16"/>
  <c r="R34" s="1"/>
  <c r="N6" i="35"/>
  <c r="N5" i="36" s="1"/>
  <c r="N138" i="3" s="1"/>
  <c r="N141" s="1"/>
  <c r="M18" i="28"/>
  <c r="L17"/>
  <c r="Z33" i="16"/>
  <c r="Z34" s="1"/>
  <c r="Q6" i="35"/>
  <c r="Q5" i="36" s="1"/>
  <c r="X33" i="16"/>
  <c r="X34" s="1"/>
  <c r="X39" s="1"/>
  <c r="X107" s="1"/>
  <c r="O6" i="35"/>
  <c r="O5" i="36" s="1"/>
  <c r="Q33" i="16"/>
  <c r="Q34" s="1"/>
  <c r="M6" i="35"/>
  <c r="M5" i="36" s="1"/>
  <c r="M138" i="3" s="1"/>
  <c r="M141" s="1"/>
  <c r="X93" i="16"/>
  <c r="AA34"/>
  <c r="AA39" s="1"/>
  <c r="AA107" s="1"/>
  <c r="L6" i="35"/>
  <c r="L5" i="36" s="1"/>
  <c r="L138" i="3" s="1"/>
  <c r="L141" s="1"/>
  <c r="L18" i="6"/>
  <c r="P33" i="16"/>
  <c r="P34" s="1"/>
  <c r="B27" i="35"/>
  <c r="K24"/>
  <c r="B24"/>
  <c r="B28" s="1"/>
  <c r="E24"/>
  <c r="B26"/>
  <c r="D24"/>
  <c r="AI46" i="16"/>
  <c r="AI45" s="1"/>
  <c r="AP115"/>
  <c r="AP116" s="1"/>
  <c r="AP117" s="1"/>
  <c r="AL18" i="12" s="1"/>
  <c r="AX115" i="16"/>
  <c r="AX116" s="1"/>
  <c r="AX117" s="1"/>
  <c r="AT18" i="12" s="1"/>
  <c r="AV115" i="16"/>
  <c r="AV116" s="1"/>
  <c r="AV117" s="1"/>
  <c r="AR104" i="12" s="1"/>
  <c r="AR105" s="1"/>
  <c r="AR106" s="1"/>
  <c r="AZ134" i="16"/>
  <c r="AX134"/>
  <c r="AV134"/>
  <c r="AT134"/>
  <c r="AR134"/>
  <c r="AP134"/>
  <c r="AI134"/>
  <c r="AC134"/>
  <c r="AX46"/>
  <c r="AP46"/>
  <c r="AD9" i="4"/>
  <c r="AD10" s="1"/>
  <c r="AE46" i="16"/>
  <c r="AE45" s="1"/>
  <c r="AI122"/>
  <c r="AI123" s="1"/>
  <c r="AF67" i="12" s="1"/>
  <c r="AF109" s="1"/>
  <c r="AF111" s="1"/>
  <c r="AT115" i="16"/>
  <c r="AT116" s="1"/>
  <c r="AT117" s="1"/>
  <c r="AP18" i="12" s="1"/>
  <c r="AR115" i="16"/>
  <c r="AR116" s="1"/>
  <c r="AR117" s="1"/>
  <c r="AN18" i="12" s="1"/>
  <c r="AN21" s="1"/>
  <c r="AZ115" i="16"/>
  <c r="AZ116" s="1"/>
  <c r="AZ117" s="1"/>
  <c r="AV104" i="12" s="1"/>
  <c r="AV105" s="1"/>
  <c r="AV106" s="1"/>
  <c r="AI115" i="16"/>
  <c r="AG122"/>
  <c r="AG123" s="1"/>
  <c r="AD67" i="12" s="1"/>
  <c r="AD68" s="1"/>
  <c r="AD69" s="1"/>
  <c r="AD10" i="22"/>
  <c r="AL9" i="4"/>
  <c r="AL10" s="1"/>
  <c r="AJ7" i="5"/>
  <c r="AJ7" i="6" s="1"/>
  <c r="AJ8" s="1"/>
  <c r="AZ46" i="16"/>
  <c r="AV46"/>
  <c r="AR46"/>
  <c r="T7" i="5"/>
  <c r="AF7"/>
  <c r="AB9" i="4"/>
  <c r="AB10" s="1"/>
  <c r="AB7" i="5"/>
  <c r="AC122" i="16"/>
  <c r="AC123" s="1"/>
  <c r="Z67" i="12" s="1"/>
  <c r="Z109" s="1"/>
  <c r="Z111" s="1"/>
  <c r="M8" i="5"/>
  <c r="AC54" i="16"/>
  <c r="AC53" s="1"/>
  <c r="AC105" s="1"/>
  <c r="AC106" s="1"/>
  <c r="AC102"/>
  <c r="Z7" i="5"/>
  <c r="Z7" i="6" s="1"/>
  <c r="Z8" s="1"/>
  <c r="AU40" i="16"/>
  <c r="AU29"/>
  <c r="AU107"/>
  <c r="AU108" s="1"/>
  <c r="J87" i="12"/>
  <c r="H62" i="22" s="1"/>
  <c r="H2" i="29"/>
  <c r="P78" i="12"/>
  <c r="P76" s="1"/>
  <c r="L71"/>
  <c r="J5" i="34"/>
  <c r="J13" i="29"/>
  <c r="J6" i="30"/>
  <c r="E356" i="38"/>
  <c r="E282"/>
  <c r="E286" s="1"/>
  <c r="E283"/>
  <c r="B282"/>
  <c r="B286" s="1"/>
  <c r="B356"/>
  <c r="B283"/>
  <c r="B285" s="1"/>
  <c r="H355"/>
  <c r="H282"/>
  <c r="H286" s="1"/>
  <c r="H283"/>
  <c r="B6" i="30"/>
  <c r="B5" i="34"/>
  <c r="D71" i="12"/>
  <c r="B13" i="29"/>
  <c r="O40" i="16"/>
  <c r="O107"/>
  <c r="O29"/>
  <c r="O30" s="1"/>
  <c r="K40"/>
  <c r="K29"/>
  <c r="K30" s="1"/>
  <c r="K107"/>
  <c r="J358" i="38"/>
  <c r="N279"/>
  <c r="AS107" i="16"/>
  <c r="AS29"/>
  <c r="BA39"/>
  <c r="BA40" s="1"/>
  <c r="AS40"/>
  <c r="F137" i="3"/>
  <c r="W36" i="12"/>
  <c r="AA5" i="22" s="1"/>
  <c r="AW83" i="12"/>
  <c r="AW82" s="1"/>
  <c r="AU87"/>
  <c r="I34" i="10"/>
  <c r="J34" s="1"/>
  <c r="N33"/>
  <c r="L355" i="38"/>
  <c r="L282"/>
  <c r="L286" s="1"/>
  <c r="L283"/>
  <c r="F142" i="3"/>
  <c r="O139"/>
  <c r="AG66" i="12"/>
  <c r="L13" i="23" s="1"/>
  <c r="I93" i="16"/>
  <c r="K93"/>
  <c r="F46" i="37"/>
  <c r="X79" i="12"/>
  <c r="Y79" s="1"/>
  <c r="Z79" s="1"/>
  <c r="AA79" s="1"/>
  <c r="AB79" s="1"/>
  <c r="AC79" s="1"/>
  <c r="AD79" s="1"/>
  <c r="AE79" s="1"/>
  <c r="AF79" s="1"/>
  <c r="AD39" i="16"/>
  <c r="AD107" s="1"/>
  <c r="AC39"/>
  <c r="AC107" s="1"/>
  <c r="AL79" i="12"/>
  <c r="AM79" s="1"/>
  <c r="AN79" s="1"/>
  <c r="AO79" s="1"/>
  <c r="AP79" s="1"/>
  <c r="AQ79" s="1"/>
  <c r="AR79" s="1"/>
  <c r="AS79" s="1"/>
  <c r="AT79" s="1"/>
  <c r="AU79" s="1"/>
  <c r="AV79" s="1"/>
  <c r="AD36"/>
  <c r="AH5" i="22" s="1"/>
  <c r="Z36" i="12"/>
  <c r="AD5" i="22" s="1"/>
  <c r="AS36" i="12"/>
  <c r="AV36"/>
  <c r="G65"/>
  <c r="L7" i="6"/>
  <c r="L8" s="1"/>
  <c r="M34" i="16"/>
  <c r="M39" s="1"/>
  <c r="AG78" i="12"/>
  <c r="AG76" s="1"/>
  <c r="J79"/>
  <c r="K79" s="1"/>
  <c r="L79" s="1"/>
  <c r="M79" s="1"/>
  <c r="N79" s="1"/>
  <c r="O79" s="1"/>
  <c r="AU84"/>
  <c r="AV84" s="1"/>
  <c r="E69"/>
  <c r="AB36"/>
  <c r="AF5" i="22" s="1"/>
  <c r="AN36" i="12"/>
  <c r="AR36"/>
  <c r="K69"/>
  <c r="J69"/>
  <c r="AE105" i="16"/>
  <c r="AE106" s="1"/>
  <c r="E22" i="36"/>
  <c r="J107" i="16"/>
  <c r="J29"/>
  <c r="J30" s="1"/>
  <c r="J40"/>
  <c r="J282" i="38"/>
  <c r="J286" s="1"/>
  <c r="J283"/>
  <c r="J355"/>
  <c r="N71" i="12"/>
  <c r="L6" i="30"/>
  <c r="L5" i="34"/>
  <c r="L13" i="29"/>
  <c r="D355" i="38"/>
  <c r="D283"/>
  <c r="N276"/>
  <c r="D282"/>
  <c r="D357"/>
  <c r="N278"/>
  <c r="J356"/>
  <c r="N277"/>
  <c r="G87" i="12"/>
  <c r="E2" i="29"/>
  <c r="E87" i="12"/>
  <c r="C2" i="29"/>
  <c r="D19" i="28"/>
  <c r="C20"/>
  <c r="C28" s="1"/>
  <c r="C27"/>
  <c r="C19" i="6"/>
  <c r="C8" i="35"/>
  <c r="E46" i="37"/>
  <c r="L23" i="23"/>
  <c r="L24" s="1"/>
  <c r="G5" i="34"/>
  <c r="G13" i="29"/>
  <c r="I71" i="12"/>
  <c r="G6" i="30"/>
  <c r="H21" i="36"/>
  <c r="H22" s="1"/>
  <c r="H24" i="35"/>
  <c r="C21" i="36"/>
  <c r="C22" s="1"/>
  <c r="C24" i="35"/>
  <c r="I20" i="36"/>
  <c r="I22" s="1"/>
  <c r="I24" i="35"/>
  <c r="J142" i="3"/>
  <c r="J153"/>
  <c r="C141"/>
  <c r="O141" s="1"/>
  <c r="O138"/>
  <c r="G39" i="16"/>
  <c r="G93"/>
  <c r="F69" i="12"/>
  <c r="P65"/>
  <c r="C17" i="35"/>
  <c r="C31"/>
  <c r="D18"/>
  <c r="C17" i="36"/>
  <c r="C16" s="1"/>
  <c r="C26" i="35"/>
  <c r="F7" i="36"/>
  <c r="F6" s="1"/>
  <c r="G7"/>
  <c r="G6" s="1"/>
  <c r="H69" i="12"/>
  <c r="H107" i="16"/>
  <c r="H29"/>
  <c r="H30" s="1"/>
  <c r="H40"/>
  <c r="K87" i="12"/>
  <c r="I2" i="29"/>
  <c r="AY25" i="16"/>
  <c r="AY22"/>
  <c r="BA15"/>
  <c r="D2" i="29"/>
  <c r="F87" i="12"/>
  <c r="J21" i="36"/>
  <c r="J22" s="1"/>
  <c r="J24" i="35"/>
  <c r="F21" i="36"/>
  <c r="F22" s="1"/>
  <c r="F24" i="35"/>
  <c r="G20" i="36"/>
  <c r="G22" s="1"/>
  <c r="G24" i="35"/>
  <c r="I153" i="3"/>
  <c r="I142"/>
  <c r="G153"/>
  <c r="O153" s="1"/>
  <c r="G142"/>
  <c r="O142" s="1"/>
  <c r="D7" i="36"/>
  <c r="D6" s="1"/>
  <c r="D22" i="4"/>
  <c r="V88" i="12"/>
  <c r="AB39" i="16"/>
  <c r="AB107" s="1"/>
  <c r="AF39"/>
  <c r="AF107" s="1"/>
  <c r="L25" i="23"/>
  <c r="BA22" i="16"/>
  <c r="B22" i="36"/>
  <c r="C23"/>
  <c r="G69" i="12"/>
  <c r="I26" i="37"/>
  <c r="J26" s="1"/>
  <c r="G19" i="23" s="1"/>
  <c r="L7" i="28"/>
  <c r="L8" s="1"/>
  <c r="L8" i="35" s="1"/>
  <c r="P9" i="4"/>
  <c r="P10" s="1"/>
  <c r="Q7" i="5"/>
  <c r="Q7" i="28" s="1"/>
  <c r="Q8" s="1"/>
  <c r="Z134" i="16"/>
  <c r="Z122"/>
  <c r="Z123" s="1"/>
  <c r="W67" i="12" s="1"/>
  <c r="W109" s="1"/>
  <c r="W111" s="1"/>
  <c r="AB46" i="16"/>
  <c r="AB45" s="1"/>
  <c r="AB134"/>
  <c r="AE10" i="22"/>
  <c r="S7" i="5"/>
  <c r="AB122" i="16"/>
  <c r="AB123" s="1"/>
  <c r="Y67" i="12" s="1"/>
  <c r="Y103" s="1"/>
  <c r="AB54" i="16"/>
  <c r="AB53" s="1"/>
  <c r="AB105" s="1"/>
  <c r="AB106" s="1"/>
  <c r="Y46"/>
  <c r="Y45" s="1"/>
  <c r="H193"/>
  <c r="AC103"/>
  <c r="X7" i="5"/>
  <c r="X7" i="6" s="1"/>
  <c r="X8" s="1"/>
  <c r="AC7" i="5"/>
  <c r="AC8" s="1"/>
  <c r="AE7"/>
  <c r="AG7"/>
  <c r="AI7"/>
  <c r="AE122" i="16"/>
  <c r="AE123" s="1"/>
  <c r="AB67" i="12" s="1"/>
  <c r="AB109" s="1"/>
  <c r="AB111" s="1"/>
  <c r="AF10" i="22"/>
  <c r="AE134" i="16"/>
  <c r="AA134"/>
  <c r="AA46"/>
  <c r="AA45" s="1"/>
  <c r="AB10" i="22"/>
  <c r="AA122" i="16"/>
  <c r="AA123" s="1"/>
  <c r="X67" i="12" s="1"/>
  <c r="X109" s="1"/>
  <c r="X111" s="1"/>
  <c r="H188" i="16"/>
  <c r="V7" i="5"/>
  <c r="AG115" i="16"/>
  <c r="AG116" s="1"/>
  <c r="AG117" s="1"/>
  <c r="AG134"/>
  <c r="X9" i="4"/>
  <c r="X10" s="1"/>
  <c r="H40" i="37"/>
  <c r="O75" i="12"/>
  <c r="Z10" i="22"/>
  <c r="Y122" i="16"/>
  <c r="Y123" s="1"/>
  <c r="V67" i="12" s="1"/>
  <c r="V68" s="1"/>
  <c r="H11" i="37"/>
  <c r="H12" s="1"/>
  <c r="N10" i="4"/>
  <c r="R46" i="16"/>
  <c r="R45" s="1"/>
  <c r="S45" s="1"/>
  <c r="X134"/>
  <c r="O7" i="5"/>
  <c r="O7" i="28" s="1"/>
  <c r="O8" s="1"/>
  <c r="AD122" i="16"/>
  <c r="AD123" s="1"/>
  <c r="AA67" i="12" s="1"/>
  <c r="AA68" s="1"/>
  <c r="AA69" s="1"/>
  <c r="AA71" s="1"/>
  <c r="AA28" s="1"/>
  <c r="U7" i="5"/>
  <c r="H52" i="37"/>
  <c r="I52" s="1"/>
  <c r="J52" s="1"/>
  <c r="H37"/>
  <c r="H38" s="1"/>
  <c r="O9" i="4"/>
  <c r="O10" s="1"/>
  <c r="X46" i="16"/>
  <c r="X45" s="1"/>
  <c r="X54"/>
  <c r="X53" s="1"/>
  <c r="X105" s="1"/>
  <c r="X106" s="1"/>
  <c r="X122"/>
  <c r="X123" s="1"/>
  <c r="U67" i="12" s="1"/>
  <c r="U68" s="1"/>
  <c r="U69" s="1"/>
  <c r="U71" s="1"/>
  <c r="U28" s="1"/>
  <c r="U29" s="1"/>
  <c r="AD54" i="16"/>
  <c r="AD53" s="1"/>
  <c r="AD105" s="1"/>
  <c r="AD106" s="1"/>
  <c r="AD46"/>
  <c r="AD45" s="1"/>
  <c r="K22" i="36"/>
  <c r="H181" i="16"/>
  <c r="B24" i="36"/>
  <c r="D22"/>
  <c r="H178" i="16"/>
  <c r="H190"/>
  <c r="P8" i="5"/>
  <c r="P7" i="6"/>
  <c r="P8" s="1"/>
  <c r="P7" i="28"/>
  <c r="P8" s="1"/>
  <c r="AO115" i="16"/>
  <c r="AQ115"/>
  <c r="AQ116" s="1"/>
  <c r="AQ117" s="1"/>
  <c r="AM104" i="12" s="1"/>
  <c r="AM105" s="1"/>
  <c r="AM106" s="1"/>
  <c r="AH115" i="16"/>
  <c r="AH116" s="1"/>
  <c r="AH117" s="1"/>
  <c r="AY115"/>
  <c r="AY116" s="1"/>
  <c r="AY117" s="1"/>
  <c r="AU18" i="12" s="1"/>
  <c r="AU21" s="1"/>
  <c r="AU115" i="16"/>
  <c r="AU116" s="1"/>
  <c r="AU117" s="1"/>
  <c r="AQ104" i="12" s="1"/>
  <c r="AQ105" s="1"/>
  <c r="AQ106" s="1"/>
  <c r="AS115" i="16"/>
  <c r="AS116" s="1"/>
  <c r="AS117" s="1"/>
  <c r="AW115"/>
  <c r="AW116" s="1"/>
  <c r="AW117" s="1"/>
  <c r="AS104" i="12" s="1"/>
  <c r="AS105" s="1"/>
  <c r="AS106" s="1"/>
  <c r="AU46" i="16"/>
  <c r="AY46"/>
  <c r="AO112"/>
  <c r="BA112" s="1"/>
  <c r="BA111" s="1"/>
  <c r="AC9" i="4"/>
  <c r="AC10" s="1"/>
  <c r="R54" i="16"/>
  <c r="R53" s="1"/>
  <c r="S53" s="1"/>
  <c r="S54" s="1"/>
  <c r="G11" i="37" s="1"/>
  <c r="G12" s="1"/>
  <c r="G29" s="1"/>
  <c r="R122" i="16"/>
  <c r="R123" s="1"/>
  <c r="O103" i="12" s="1"/>
  <c r="H18" i="37"/>
  <c r="R134" i="16"/>
  <c r="M10" i="22"/>
  <c r="AV109" i="12"/>
  <c r="AV111" s="1"/>
  <c r="AV68"/>
  <c r="AV69" s="1"/>
  <c r="AV71" s="1"/>
  <c r="AV28" s="1"/>
  <c r="AV103"/>
  <c r="AT109"/>
  <c r="AT111" s="1"/>
  <c r="AT68"/>
  <c r="AT69" s="1"/>
  <c r="AT71" s="1"/>
  <c r="AT28" s="1"/>
  <c r="AT103"/>
  <c r="AS109"/>
  <c r="AS111" s="1"/>
  <c r="AS68"/>
  <c r="AS69" s="1"/>
  <c r="AS71" s="1"/>
  <c r="AS28" s="1"/>
  <c r="AS103"/>
  <c r="AR68"/>
  <c r="AR69" s="1"/>
  <c r="AR71" s="1"/>
  <c r="AR28" s="1"/>
  <c r="AR109"/>
  <c r="AR111" s="1"/>
  <c r="AR103"/>
  <c r="AQ109"/>
  <c r="AQ111" s="1"/>
  <c r="AQ68"/>
  <c r="AQ69" s="1"/>
  <c r="AQ71" s="1"/>
  <c r="AQ28" s="1"/>
  <c r="AQ103"/>
  <c r="AP109"/>
  <c r="AP111" s="1"/>
  <c r="AP68"/>
  <c r="AP69" s="1"/>
  <c r="AP71" s="1"/>
  <c r="AP28" s="1"/>
  <c r="AP103"/>
  <c r="AO109"/>
  <c r="AO111" s="1"/>
  <c r="AO68"/>
  <c r="AO69" s="1"/>
  <c r="AO71" s="1"/>
  <c r="AO28" s="1"/>
  <c r="AO103"/>
  <c r="AN109"/>
  <c r="AN111" s="1"/>
  <c r="AN68"/>
  <c r="AN69" s="1"/>
  <c r="AN71" s="1"/>
  <c r="AN28" s="1"/>
  <c r="AN103"/>
  <c r="AM109"/>
  <c r="AM111" s="1"/>
  <c r="AM68"/>
  <c r="AM69" s="1"/>
  <c r="AM71" s="1"/>
  <c r="AM28" s="1"/>
  <c r="AM103"/>
  <c r="AL109"/>
  <c r="AL111" s="1"/>
  <c r="AL68"/>
  <c r="AL69" s="1"/>
  <c r="AL103"/>
  <c r="AC103"/>
  <c r="AC109"/>
  <c r="AC111" s="1"/>
  <c r="AC68"/>
  <c r="AC69" s="1"/>
  <c r="AC71" s="1"/>
  <c r="AK88" l="1"/>
  <c r="AO62" i="22"/>
  <c r="I286" i="38"/>
  <c r="M363"/>
  <c r="M361"/>
  <c r="I285"/>
  <c r="I361"/>
  <c r="AJ93" i="16"/>
  <c r="Y93"/>
  <c r="Y39"/>
  <c r="Y107" s="1"/>
  <c r="O150" i="3"/>
  <c r="K155"/>
  <c r="K124"/>
  <c r="AY112" i="2"/>
  <c r="N20" i="12"/>
  <c r="G131" i="3"/>
  <c r="G132" s="1"/>
  <c r="G136" s="1"/>
  <c r="G137" s="1"/>
  <c r="H20" i="12"/>
  <c r="E20"/>
  <c r="D131" i="3"/>
  <c r="D132" s="1"/>
  <c r="D136" s="1"/>
  <c r="D137" s="1"/>
  <c r="M116" i="2"/>
  <c r="M118"/>
  <c r="J20" i="12"/>
  <c r="I131" i="3"/>
  <c r="I132" s="1"/>
  <c r="I136" s="1"/>
  <c r="I137" s="1"/>
  <c r="G116" i="2"/>
  <c r="G119"/>
  <c r="AP119"/>
  <c r="AX115"/>
  <c r="W118"/>
  <c r="W116"/>
  <c r="T118"/>
  <c r="AF111"/>
  <c r="T116"/>
  <c r="T119"/>
  <c r="AF113"/>
  <c r="AR116"/>
  <c r="AR118"/>
  <c r="L118"/>
  <c r="L116"/>
  <c r="D119"/>
  <c r="D116"/>
  <c r="N113"/>
  <c r="N119" s="1"/>
  <c r="K131" i="3"/>
  <c r="K132" s="1"/>
  <c r="K136" s="1"/>
  <c r="K137" s="1"/>
  <c r="L20" i="12"/>
  <c r="I118" i="2"/>
  <c r="I116"/>
  <c r="AD116"/>
  <c r="AD118"/>
  <c r="AM118"/>
  <c r="AM116"/>
  <c r="AX111"/>
  <c r="AQ118"/>
  <c r="AQ116"/>
  <c r="AS118"/>
  <c r="AS116"/>
  <c r="AU118"/>
  <c r="AU116"/>
  <c r="AW118"/>
  <c r="AW116"/>
  <c r="AL95"/>
  <c r="AX91"/>
  <c r="AY91" s="1"/>
  <c r="BA91" s="1"/>
  <c r="BB91" s="1"/>
  <c r="AN116"/>
  <c r="AN118"/>
  <c r="AV116"/>
  <c r="AV118"/>
  <c r="G35" i="12"/>
  <c r="G19"/>
  <c r="E37" i="30"/>
  <c r="N70" i="2"/>
  <c r="N93"/>
  <c r="O93" s="1"/>
  <c r="Q93" s="1"/>
  <c r="R93" s="1"/>
  <c r="N89"/>
  <c r="AF36"/>
  <c r="AG36" s="1"/>
  <c r="AI36" s="1"/>
  <c r="AJ36" s="1"/>
  <c r="N26"/>
  <c r="O26" s="1"/>
  <c r="Q26" s="1"/>
  <c r="R26" s="1"/>
  <c r="U115"/>
  <c r="AF115" s="1"/>
  <c r="AG115" s="1"/>
  <c r="AF24"/>
  <c r="AC118"/>
  <c r="AC116"/>
  <c r="K20" i="12"/>
  <c r="J131" i="3"/>
  <c r="J132" s="1"/>
  <c r="J136" s="1"/>
  <c r="J137" s="1"/>
  <c r="H118" i="2"/>
  <c r="H116"/>
  <c r="N91"/>
  <c r="O91" s="1"/>
  <c r="Q91" s="1"/>
  <c r="R91" s="1"/>
  <c r="G95"/>
  <c r="G108" s="1"/>
  <c r="Y119"/>
  <c r="Y116"/>
  <c r="AP49"/>
  <c r="AX26"/>
  <c r="AY26" s="1"/>
  <c r="BA26" s="1"/>
  <c r="BB26" s="1"/>
  <c r="T95"/>
  <c r="AF93"/>
  <c r="AG93" s="1"/>
  <c r="AI93" s="1"/>
  <c r="AJ93" s="1"/>
  <c r="AE119"/>
  <c r="AE116"/>
  <c r="X116"/>
  <c r="X118"/>
  <c r="K118"/>
  <c r="K116"/>
  <c r="J116"/>
  <c r="J119"/>
  <c r="F118"/>
  <c r="F116"/>
  <c r="N111"/>
  <c r="N118" s="1"/>
  <c r="U119"/>
  <c r="U116"/>
  <c r="AX93"/>
  <c r="AY93" s="1"/>
  <c r="BA93" s="1"/>
  <c r="BB93" s="1"/>
  <c r="AM95"/>
  <c r="AM108" s="1"/>
  <c r="AL20" i="12" s="1"/>
  <c r="AL35" s="1"/>
  <c r="AL36" s="1"/>
  <c r="X95" i="2"/>
  <c r="X108" s="1"/>
  <c r="Y20" i="12" s="1"/>
  <c r="Y35" s="1"/>
  <c r="Y36" s="1"/>
  <c r="AC5" i="22" s="1"/>
  <c r="AF91" i="2"/>
  <c r="AG91" s="1"/>
  <c r="AI91" s="1"/>
  <c r="AJ91" s="1"/>
  <c r="AX113"/>
  <c r="AL119"/>
  <c r="AB116"/>
  <c r="AB118"/>
  <c r="D20" i="12"/>
  <c r="C131" i="3"/>
  <c r="C132" s="1"/>
  <c r="C136" s="1"/>
  <c r="C137" s="1"/>
  <c r="F35" i="12"/>
  <c r="F1"/>
  <c r="F19"/>
  <c r="D37" i="30"/>
  <c r="N36" i="2"/>
  <c r="O36" s="1"/>
  <c r="Q36" s="1"/>
  <c r="R36" s="1"/>
  <c r="N95"/>
  <c r="O95" s="1"/>
  <c r="Q95" s="1"/>
  <c r="R95" s="1"/>
  <c r="M108"/>
  <c r="E116"/>
  <c r="AQ108"/>
  <c r="AP20" i="12" s="1"/>
  <c r="AP35" s="1"/>
  <c r="AP36" s="1"/>
  <c r="AU108" i="2"/>
  <c r="AT20" i="12" s="1"/>
  <c r="AT35" s="1"/>
  <c r="AT36" s="1"/>
  <c r="AF89" i="2"/>
  <c r="AP116"/>
  <c r="AX116" s="1"/>
  <c r="U26"/>
  <c r="AX89"/>
  <c r="L37" i="30"/>
  <c r="N35" i="12"/>
  <c r="AU103"/>
  <c r="H8" i="36"/>
  <c r="E16" i="37"/>
  <c r="L39" i="16"/>
  <c r="AQ18" i="12"/>
  <c r="AQ21" s="1"/>
  <c r="AD8" i="5"/>
  <c r="Y7" i="28"/>
  <c r="Y8" s="1"/>
  <c r="AU109" i="12"/>
  <c r="AU111" s="1"/>
  <c r="AD7" i="28"/>
  <c r="AD8" s="1"/>
  <c r="AA7" i="6"/>
  <c r="AA8" s="1"/>
  <c r="AA7" i="28"/>
  <c r="AA8" s="1"/>
  <c r="AS18" i="12"/>
  <c r="AS21" s="1"/>
  <c r="AE68"/>
  <c r="AE69" s="1"/>
  <c r="AE71" s="1"/>
  <c r="AE109"/>
  <c r="AE111" s="1"/>
  <c r="K24" i="29"/>
  <c r="L24" s="1"/>
  <c r="M24" s="1"/>
  <c r="K26"/>
  <c r="X18" i="5"/>
  <c r="W17"/>
  <c r="O21" i="4"/>
  <c r="N19"/>
  <c r="AT19" i="12"/>
  <c r="AT23" s="1"/>
  <c r="AT26" s="1"/>
  <c r="AL7" i="28"/>
  <c r="AL8" s="1"/>
  <c r="AC7" i="6"/>
  <c r="AC8" s="1"/>
  <c r="AD109" i="12"/>
  <c r="AD111" s="1"/>
  <c r="AM18"/>
  <c r="AM21" s="1"/>
  <c r="AT104"/>
  <c r="AT105" s="1"/>
  <c r="AT106" s="1"/>
  <c r="AL8" i="5"/>
  <c r="AC7" i="28"/>
  <c r="AC8" s="1"/>
  <c r="N49" i="2"/>
  <c r="O49" s="1"/>
  <c r="Q49" s="1"/>
  <c r="K108"/>
  <c r="L111" i="3"/>
  <c r="P118"/>
  <c r="L124"/>
  <c r="O106"/>
  <c r="O123"/>
  <c r="O98"/>
  <c r="O94"/>
  <c r="O121"/>
  <c r="O122"/>
  <c r="AF68" i="12"/>
  <c r="AF69" s="1"/>
  <c r="AF71" s="1"/>
  <c r="AF73" s="1"/>
  <c r="AN19"/>
  <c r="AN33" s="1"/>
  <c r="AK8" i="5"/>
  <c r="AK7" i="28"/>
  <c r="AK8" s="1"/>
  <c r="AV19" i="12"/>
  <c r="AV23" s="1"/>
  <c r="AV26" s="1"/>
  <c r="AK109"/>
  <c r="AK111" s="1"/>
  <c r="AL104"/>
  <c r="AL105" s="1"/>
  <c r="AL106" s="1"/>
  <c r="AV18"/>
  <c r="AV21" s="1"/>
  <c r="AK68"/>
  <c r="AW68" s="1"/>
  <c r="AW67" s="1"/>
  <c r="AR18"/>
  <c r="AR21" s="1"/>
  <c r="Z7" i="28"/>
  <c r="Z8" s="1"/>
  <c r="I19" i="23"/>
  <c r="Y8" i="5"/>
  <c r="AU104" i="12"/>
  <c r="AU105" s="1"/>
  <c r="AU106" s="1"/>
  <c r="W103"/>
  <c r="V109"/>
  <c r="V111" s="1"/>
  <c r="AA109"/>
  <c r="AA111" s="1"/>
  <c r="AD103"/>
  <c r="AF103"/>
  <c r="AN104"/>
  <c r="AN105" s="1"/>
  <c r="AN106" s="1"/>
  <c r="AB103"/>
  <c r="AA73"/>
  <c r="R7" i="6"/>
  <c r="R8" s="1"/>
  <c r="R8" i="5"/>
  <c r="BA134" i="16"/>
  <c r="F19" i="5"/>
  <c r="E20"/>
  <c r="E28" s="1"/>
  <c r="E27"/>
  <c r="G362" i="38"/>
  <c r="G361"/>
  <c r="I107" i="16"/>
  <c r="I40"/>
  <c r="I29"/>
  <c r="I30" s="1"/>
  <c r="AE40"/>
  <c r="AE29"/>
  <c r="N115"/>
  <c r="N116" s="1"/>
  <c r="N117" s="1"/>
  <c r="N108"/>
  <c r="AP104" i="12"/>
  <c r="AP105" s="1"/>
  <c r="AP106" s="1"/>
  <c r="G285" i="38"/>
  <c r="AA40" i="16"/>
  <c r="AA29"/>
  <c r="Q39"/>
  <c r="Q93"/>
  <c r="X40"/>
  <c r="X29"/>
  <c r="Z93"/>
  <c r="Z39"/>
  <c r="Z107" s="1"/>
  <c r="N18" i="28"/>
  <c r="M17"/>
  <c r="R39" i="16"/>
  <c r="R93"/>
  <c r="AA93"/>
  <c r="S93"/>
  <c r="P39"/>
  <c r="P93"/>
  <c r="M18" i="6"/>
  <c r="L31"/>
  <c r="L26"/>
  <c r="L17"/>
  <c r="Z103" i="12"/>
  <c r="Q7" i="6"/>
  <c r="Q8" s="1"/>
  <c r="Z68" i="12"/>
  <c r="Z69" s="1"/>
  <c r="Z71" s="1"/>
  <c r="AM19"/>
  <c r="AM23" s="1"/>
  <c r="AM26" s="1"/>
  <c r="V103"/>
  <c r="W68"/>
  <c r="W69" s="1"/>
  <c r="W71" s="1"/>
  <c r="W73" s="1"/>
  <c r="AU19"/>
  <c r="AU102" s="1"/>
  <c r="AL19"/>
  <c r="AL23" s="1"/>
  <c r="AL26" s="1"/>
  <c r="AJ8" i="5"/>
  <c r="AJ7" i="28"/>
  <c r="AJ8" s="1"/>
  <c r="Z8" i="5"/>
  <c r="Q8"/>
  <c r="Q8" i="35" s="1"/>
  <c r="Q7" i="36" s="1"/>
  <c r="Q6" s="1"/>
  <c r="AI116" i="16"/>
  <c r="AI117" s="1"/>
  <c r="M7" i="6"/>
  <c r="M8" s="1"/>
  <c r="M7" i="28"/>
  <c r="M8" s="1"/>
  <c r="AB7" i="6"/>
  <c r="AB8" s="1"/>
  <c r="AB8" i="5"/>
  <c r="AB7" i="28"/>
  <c r="AB8" s="1"/>
  <c r="I5" i="34"/>
  <c r="I6" i="30"/>
  <c r="K71" i="12"/>
  <c r="I13" i="29"/>
  <c r="I18" s="1"/>
  <c r="E71" i="12"/>
  <c r="C13" i="29"/>
  <c r="C18" s="1"/>
  <c r="C6" i="30"/>
  <c r="C5" i="34"/>
  <c r="AD29" i="16"/>
  <c r="AD40"/>
  <c r="L362" i="38"/>
  <c r="L361"/>
  <c r="AS108" i="16"/>
  <c r="BA107"/>
  <c r="BA108" s="1"/>
  <c r="D73" i="12"/>
  <c r="D28"/>
  <c r="H361" i="38"/>
  <c r="H362"/>
  <c r="B361"/>
  <c r="B362"/>
  <c r="E362"/>
  <c r="E361"/>
  <c r="Y29" i="16"/>
  <c r="Y40"/>
  <c r="H7" i="29"/>
  <c r="M93" i="16"/>
  <c r="L285" i="38"/>
  <c r="H285"/>
  <c r="E285"/>
  <c r="H13" i="29"/>
  <c r="H18" s="1"/>
  <c r="H5" i="34"/>
  <c r="H6" i="30"/>
  <c r="J71" i="12"/>
  <c r="AK8" i="22"/>
  <c r="M27" i="23"/>
  <c r="M40" i="16"/>
  <c r="M29"/>
  <c r="M30" s="1"/>
  <c r="M107"/>
  <c r="AC40"/>
  <c r="AC29"/>
  <c r="AW87" i="12"/>
  <c r="AY62" i="22"/>
  <c r="K115" i="16"/>
  <c r="K116" s="1"/>
  <c r="K117" s="1"/>
  <c r="K108"/>
  <c r="O115"/>
  <c r="O116" s="1"/>
  <c r="O117" s="1"/>
  <c r="O108"/>
  <c r="B18" i="29"/>
  <c r="B20"/>
  <c r="J20"/>
  <c r="J26" s="1"/>
  <c r="J18"/>
  <c r="L28" i="12"/>
  <c r="L30" s="1"/>
  <c r="L73"/>
  <c r="I27" i="23"/>
  <c r="U77" i="12"/>
  <c r="N8" i="22"/>
  <c r="L7" i="35"/>
  <c r="L7" i="36"/>
  <c r="L6" s="1"/>
  <c r="AF40" i="16"/>
  <c r="AF29"/>
  <c r="Z92" i="22"/>
  <c r="W88" i="12"/>
  <c r="P154" i="3"/>
  <c r="Q154" s="1"/>
  <c r="D7" i="29"/>
  <c r="I7"/>
  <c r="I20"/>
  <c r="I26" s="1"/>
  <c r="H115" i="16"/>
  <c r="H116" s="1"/>
  <c r="H117" s="1"/>
  <c r="H108"/>
  <c r="F13" i="29"/>
  <c r="H71" i="12"/>
  <c r="F5" i="34"/>
  <c r="F6" i="30"/>
  <c r="C20" i="6"/>
  <c r="C28" s="1"/>
  <c r="C27"/>
  <c r="D19"/>
  <c r="C7" i="29"/>
  <c r="C20"/>
  <c r="N2"/>
  <c r="E7"/>
  <c r="D361" i="38"/>
  <c r="D362"/>
  <c r="L20" i="29"/>
  <c r="L26" s="1"/>
  <c r="L18"/>
  <c r="J361" i="38"/>
  <c r="J362"/>
  <c r="E6" i="30"/>
  <c r="G71" i="12"/>
  <c r="E13" i="29"/>
  <c r="E18" s="1"/>
  <c r="G33" i="12"/>
  <c r="E5" i="34"/>
  <c r="AB29" i="16"/>
  <c r="AJ39"/>
  <c r="AJ40" s="1"/>
  <c r="AB40"/>
  <c r="E22" i="4"/>
  <c r="D23"/>
  <c r="D31" s="1"/>
  <c r="D30"/>
  <c r="D62" i="22"/>
  <c r="AY28" i="16"/>
  <c r="BA25"/>
  <c r="I62" i="22"/>
  <c r="E18" i="35"/>
  <c r="D17" i="36"/>
  <c r="D26" i="35"/>
  <c r="D17"/>
  <c r="D31"/>
  <c r="D5" i="34"/>
  <c r="D6" i="30"/>
  <c r="D13" i="29"/>
  <c r="D18" s="1"/>
  <c r="F71" i="12"/>
  <c r="F33"/>
  <c r="G29" i="16"/>
  <c r="G40"/>
  <c r="G107"/>
  <c r="S39"/>
  <c r="G38" s="1"/>
  <c r="I73" i="12"/>
  <c r="I28"/>
  <c r="I30" s="1"/>
  <c r="G18" i="29"/>
  <c r="G20"/>
  <c r="G26" s="1"/>
  <c r="C19" i="35"/>
  <c r="C7" i="36"/>
  <c r="C6" s="1"/>
  <c r="C7" i="35"/>
  <c r="E19" i="28"/>
  <c r="D20"/>
  <c r="D28" s="1"/>
  <c r="D27"/>
  <c r="C62" i="22"/>
  <c r="E88" i="12"/>
  <c r="C92" i="22" s="1"/>
  <c r="P87" i="12"/>
  <c r="N62" i="22" s="1"/>
  <c r="E62"/>
  <c r="N282" i="38"/>
  <c r="O278" s="1"/>
  <c r="D286"/>
  <c r="D285"/>
  <c r="N283"/>
  <c r="N28" i="12"/>
  <c r="N73"/>
  <c r="J115" i="16"/>
  <c r="J116" s="1"/>
  <c r="J117" s="1"/>
  <c r="J108"/>
  <c r="O277" i="38"/>
  <c r="J285"/>
  <c r="Y109" i="12"/>
  <c r="Y111" s="1"/>
  <c r="X103"/>
  <c r="Y68"/>
  <c r="Y69" s="1"/>
  <c r="Y71" s="1"/>
  <c r="Y73" s="1"/>
  <c r="U73"/>
  <c r="H46" i="37"/>
  <c r="AA103" i="12"/>
  <c r="X7" i="28"/>
  <c r="X8" s="1"/>
  <c r="X8" i="5"/>
  <c r="AJ45" i="16"/>
  <c r="X68" i="12"/>
  <c r="X69" s="1"/>
  <c r="X71" s="1"/>
  <c r="X28" s="1"/>
  <c r="AB68"/>
  <c r="AB69" s="1"/>
  <c r="AB71" s="1"/>
  <c r="AB73" s="1"/>
  <c r="AJ134" i="16"/>
  <c r="U109" i="12"/>
  <c r="U111" s="1"/>
  <c r="AD104"/>
  <c r="AD105" s="1"/>
  <c r="AD106" s="1"/>
  <c r="AD18"/>
  <c r="AD21" s="1"/>
  <c r="P8" i="35"/>
  <c r="P7" s="1"/>
  <c r="AJ106" i="16"/>
  <c r="U103" i="12"/>
  <c r="H29" i="37"/>
  <c r="I29" s="1"/>
  <c r="J29" s="1"/>
  <c r="AJ53" i="16"/>
  <c r="AJ54" s="1"/>
  <c r="G37" i="37" s="1"/>
  <c r="I37" s="1"/>
  <c r="AJ105" i="16"/>
  <c r="O7" i="6"/>
  <c r="O8" s="1"/>
  <c r="O8" i="5"/>
  <c r="R105" i="16"/>
  <c r="S105" s="1"/>
  <c r="S106" s="1"/>
  <c r="AD19" i="12"/>
  <c r="AO116" i="16"/>
  <c r="BA115"/>
  <c r="BA109" s="1"/>
  <c r="BA122" s="1"/>
  <c r="BA123" s="1"/>
  <c r="AO104" i="12"/>
  <c r="AO105" s="1"/>
  <c r="AO106" s="1"/>
  <c r="AO18"/>
  <c r="O109"/>
  <c r="O111" s="1"/>
  <c r="P111" s="1"/>
  <c r="I11" i="37"/>
  <c r="J11" s="1"/>
  <c r="J12" s="1"/>
  <c r="O68" i="12"/>
  <c r="P68" s="1"/>
  <c r="P67" s="1"/>
  <c r="N8" i="6"/>
  <c r="N8" i="28"/>
  <c r="N8" i="5"/>
  <c r="S134" i="16"/>
  <c r="AJ135"/>
  <c r="V69" i="12"/>
  <c r="V71" s="1"/>
  <c r="AE18"/>
  <c r="AE19"/>
  <c r="AE104"/>
  <c r="AE105" s="1"/>
  <c r="AE106" s="1"/>
  <c r="AD71"/>
  <c r="AC73"/>
  <c r="AC28"/>
  <c r="AL71"/>
  <c r="AL28" s="1"/>
  <c r="AT102"/>
  <c r="AO92" i="22" l="1"/>
  <c r="AL88" i="12"/>
  <c r="O20"/>
  <c r="M37" i="30" s="1"/>
  <c r="N131" i="3"/>
  <c r="N132" s="1"/>
  <c r="N136" s="1"/>
  <c r="N137" s="1"/>
  <c r="N26" i="28"/>
  <c r="N31"/>
  <c r="O155" i="3"/>
  <c r="Q152"/>
  <c r="Q151"/>
  <c r="H131"/>
  <c r="H132" s="1"/>
  <c r="H136" s="1"/>
  <c r="H137" s="1"/>
  <c r="I20" i="12"/>
  <c r="U49" i="2"/>
  <c r="AF26"/>
  <c r="AG26" s="1"/>
  <c r="AI26" s="1"/>
  <c r="AJ26" s="1"/>
  <c r="D19" i="12"/>
  <c r="B37" i="30"/>
  <c r="D35" i="12"/>
  <c r="AY113" i="2"/>
  <c r="AX119"/>
  <c r="E36" i="30"/>
  <c r="G102" i="12"/>
  <c r="AY111" i="2"/>
  <c r="AX118"/>
  <c r="AG113"/>
  <c r="AF119"/>
  <c r="J19" i="12"/>
  <c r="H37" i="30"/>
  <c r="J35" i="12"/>
  <c r="E19"/>
  <c r="C37" i="30"/>
  <c r="E35" i="12"/>
  <c r="AP21"/>
  <c r="N116" i="2"/>
  <c r="AF116"/>
  <c r="AY116" s="1"/>
  <c r="D36" i="30"/>
  <c r="F102" i="12"/>
  <c r="F36"/>
  <c r="D5" i="22" s="1"/>
  <c r="D35"/>
  <c r="D64" s="1"/>
  <c r="D5" i="30"/>
  <c r="AF95" i="2"/>
  <c r="AG95" s="1"/>
  <c r="AI95" s="1"/>
  <c r="AJ95" s="1"/>
  <c r="T108"/>
  <c r="AP108"/>
  <c r="AO20" i="12" s="1"/>
  <c r="AO35" s="1"/>
  <c r="AO36" s="1"/>
  <c r="AX49" i="2"/>
  <c r="AY49" s="1"/>
  <c r="BA49" s="1"/>
  <c r="BB49" s="1"/>
  <c r="K35" i="12"/>
  <c r="K19"/>
  <c r="I37" i="30"/>
  <c r="E5"/>
  <c r="E35" i="22"/>
  <c r="E64" s="1"/>
  <c r="G36" i="12"/>
  <c r="E5" i="22" s="1"/>
  <c r="AL108" i="2"/>
  <c r="AX95"/>
  <c r="AY95" s="1"/>
  <c r="BA95" s="1"/>
  <c r="BB95" s="1"/>
  <c r="L19" i="12"/>
  <c r="J37" i="30"/>
  <c r="L35" i="12"/>
  <c r="AF118" i="2"/>
  <c r="AG111"/>
  <c r="H19" i="12"/>
  <c r="F37" i="30"/>
  <c r="H35" i="12"/>
  <c r="AT21"/>
  <c r="AL21"/>
  <c r="AY115" i="2"/>
  <c r="L5" i="30"/>
  <c r="L35" i="22"/>
  <c r="L64" s="1"/>
  <c r="N36" i="12"/>
  <c r="L5" i="22" s="1"/>
  <c r="Z8" i="35"/>
  <c r="AW111" i="12"/>
  <c r="AL8" i="35"/>
  <c r="N7" i="29"/>
  <c r="AA8" i="35"/>
  <c r="AA7" i="36" s="1"/>
  <c r="AA6" s="1"/>
  <c r="AD8" i="35"/>
  <c r="AD7" i="36" s="1"/>
  <c r="AD6" s="1"/>
  <c r="L29" i="16"/>
  <c r="L30" s="1"/>
  <c r="L40"/>
  <c r="L107"/>
  <c r="F16" i="37"/>
  <c r="F20" s="1"/>
  <c r="E20"/>
  <c r="H20" s="1"/>
  <c r="H23" i="23"/>
  <c r="H24" s="1"/>
  <c r="M8" i="35"/>
  <c r="AD7"/>
  <c r="Y8"/>
  <c r="Y7" i="36" s="1"/>
  <c r="Y6" s="1"/>
  <c r="AV102" i="12"/>
  <c r="AV107" s="1"/>
  <c r="AA7" i="35"/>
  <c r="AU23" i="12"/>
  <c r="AU26" s="1"/>
  <c r="AT33"/>
  <c r="AT112" s="1"/>
  <c r="AK69"/>
  <c r="AW69" s="1"/>
  <c r="AT107"/>
  <c r="X17" i="5"/>
  <c r="Y18"/>
  <c r="O19" i="4"/>
  <c r="P21"/>
  <c r="AC8" i="35"/>
  <c r="AC7" s="1"/>
  <c r="AU33" i="12"/>
  <c r="AU34" s="1"/>
  <c r="AN23"/>
  <c r="AN26" s="1"/>
  <c r="AN102"/>
  <c r="AN107" s="1"/>
  <c r="AU107"/>
  <c r="AE33"/>
  <c r="AE53" s="1"/>
  <c r="R49" i="2"/>
  <c r="R50" s="1"/>
  <c r="Q50"/>
  <c r="L131" i="3"/>
  <c r="M20" i="12"/>
  <c r="N108" i="2"/>
  <c r="O108" s="1"/>
  <c r="Q108" s="1"/>
  <c r="R108" s="1"/>
  <c r="O124" i="3"/>
  <c r="AK8" i="35"/>
  <c r="AK7" s="1"/>
  <c r="AF28" i="12"/>
  <c r="AV33"/>
  <c r="AV53" s="1"/>
  <c r="AL102"/>
  <c r="AL107" s="1"/>
  <c r="AM33"/>
  <c r="AM112" s="1"/>
  <c r="AV30"/>
  <c r="AK7" i="36"/>
  <c r="AK6" s="1"/>
  <c r="AL33" i="12"/>
  <c r="AL112" s="1"/>
  <c r="AM102"/>
  <c r="AM107" s="1"/>
  <c r="AL30"/>
  <c r="AB28"/>
  <c r="R8" i="35"/>
  <c r="R7" s="1"/>
  <c r="W28" i="12"/>
  <c r="Q7" i="35"/>
  <c r="Y28" i="12"/>
  <c r="X8" i="35"/>
  <c r="X7" i="36" s="1"/>
  <c r="X6" s="1"/>
  <c r="AG111" i="12"/>
  <c r="AF104"/>
  <c r="AF105" s="1"/>
  <c r="AF106" s="1"/>
  <c r="AE108" i="16"/>
  <c r="AE115"/>
  <c r="AE116" s="1"/>
  <c r="AE117" s="1"/>
  <c r="F27" i="5"/>
  <c r="F20"/>
  <c r="AJ8" i="35"/>
  <c r="K18" i="12"/>
  <c r="K21" s="1"/>
  <c r="K104"/>
  <c r="K105" s="1"/>
  <c r="K106" s="1"/>
  <c r="I115" i="16"/>
  <c r="I116" s="1"/>
  <c r="I117" s="1"/>
  <c r="I108"/>
  <c r="R40"/>
  <c r="R107"/>
  <c r="R29"/>
  <c r="R30" s="1"/>
  <c r="O18" i="28"/>
  <c r="N17"/>
  <c r="X108" i="16"/>
  <c r="X115"/>
  <c r="X116" s="1"/>
  <c r="X117" s="1"/>
  <c r="AA108"/>
  <c r="AA115"/>
  <c r="AA116" s="1"/>
  <c r="AA117" s="1"/>
  <c r="Z29"/>
  <c r="AJ29" s="1"/>
  <c r="Z40"/>
  <c r="Q107"/>
  <c r="Q40"/>
  <c r="Q29"/>
  <c r="Q30" s="1"/>
  <c r="N18" i="6"/>
  <c r="M17"/>
  <c r="P29" i="16"/>
  <c r="P30" s="1"/>
  <c r="P107"/>
  <c r="P40"/>
  <c r="AB8" i="35"/>
  <c r="AB7" s="1"/>
  <c r="AF18" i="12"/>
  <c r="AF19"/>
  <c r="B21" i="29"/>
  <c r="B27" s="1"/>
  <c r="B26"/>
  <c r="AC108" i="16"/>
  <c r="AC115"/>
  <c r="AC116" s="1"/>
  <c r="AC117" s="1"/>
  <c r="D30" i="12"/>
  <c r="D29"/>
  <c r="AD108" i="16"/>
  <c r="AD115"/>
  <c r="AD116" s="1"/>
  <c r="AD117" s="1"/>
  <c r="L18" i="12"/>
  <c r="L21" s="1"/>
  <c r="L104"/>
  <c r="L105" s="1"/>
  <c r="L106" s="1"/>
  <c r="H18"/>
  <c r="H21" s="1"/>
  <c r="H104"/>
  <c r="H105" s="1"/>
  <c r="H106" s="1"/>
  <c r="M115" i="16"/>
  <c r="M116" s="1"/>
  <c r="M117" s="1"/>
  <c r="M108"/>
  <c r="J73" i="12"/>
  <c r="J28"/>
  <c r="J30" s="1"/>
  <c r="Y108" i="16"/>
  <c r="Y115"/>
  <c r="Y116" s="1"/>
  <c r="Y117" s="1"/>
  <c r="E73" i="12"/>
  <c r="E28"/>
  <c r="E30" s="1"/>
  <c r="K73"/>
  <c r="K28"/>
  <c r="K30" s="1"/>
  <c r="H20" i="29"/>
  <c r="H26" s="1"/>
  <c r="I12" i="37"/>
  <c r="G104" i="12"/>
  <c r="G105" s="1"/>
  <c r="G106" s="1"/>
  <c r="G107" s="1"/>
  <c r="G18"/>
  <c r="G21" s="1"/>
  <c r="O284" i="38"/>
  <c r="N286"/>
  <c r="O280"/>
  <c r="O279"/>
  <c r="O281"/>
  <c r="E27" i="28"/>
  <c r="E20"/>
  <c r="D4" i="30"/>
  <c r="F34" i="12"/>
  <c r="F48" s="1"/>
  <c r="F53"/>
  <c r="F112"/>
  <c r="D36" i="22"/>
  <c r="D16" i="36"/>
  <c r="D23"/>
  <c r="BA28" i="16"/>
  <c r="AY29"/>
  <c r="BA29" s="1"/>
  <c r="E23" i="4"/>
  <c r="E30"/>
  <c r="C21" i="29"/>
  <c r="C26"/>
  <c r="D20" i="6"/>
  <c r="D28" s="1"/>
  <c r="D27"/>
  <c r="E19"/>
  <c r="H28" i="12"/>
  <c r="H30" s="1"/>
  <c r="H73"/>
  <c r="AA92" i="22"/>
  <c r="X88" i="12"/>
  <c r="AT30"/>
  <c r="F88"/>
  <c r="D20" i="29"/>
  <c r="D26" s="1"/>
  <c r="N285" i="38"/>
  <c r="O283"/>
  <c r="C20" i="35"/>
  <c r="C28" s="1"/>
  <c r="C27"/>
  <c r="C18" i="36"/>
  <c r="D19" i="35"/>
  <c r="T43" i="16"/>
  <c r="M38"/>
  <c r="K38"/>
  <c r="O38"/>
  <c r="I38"/>
  <c r="H38"/>
  <c r="S40"/>
  <c r="R38"/>
  <c r="N38"/>
  <c r="Q38"/>
  <c r="P38"/>
  <c r="J38"/>
  <c r="L38"/>
  <c r="G115"/>
  <c r="G108"/>
  <c r="S107"/>
  <c r="S109" s="1"/>
  <c r="G30"/>
  <c r="S29"/>
  <c r="S30" s="1"/>
  <c r="F73" i="12"/>
  <c r="F28"/>
  <c r="E17" i="35"/>
  <c r="E31"/>
  <c r="F18"/>
  <c r="E17" i="36"/>
  <c r="E26" i="35"/>
  <c r="AB108" i="16"/>
  <c r="AJ107"/>
  <c r="AB115"/>
  <c r="G34" i="12"/>
  <c r="G48" s="1"/>
  <c r="G53"/>
  <c r="E36" i="22"/>
  <c r="E4" i="30"/>
  <c r="G112" i="12"/>
  <c r="G28"/>
  <c r="G30" s="1"/>
  <c r="G73"/>
  <c r="F18" i="29"/>
  <c r="F20"/>
  <c r="F26" s="1"/>
  <c r="E104" i="12"/>
  <c r="E105" s="1"/>
  <c r="E106" s="1"/>
  <c r="E18"/>
  <c r="E21" s="1"/>
  <c r="AF108" i="16"/>
  <c r="AF115"/>
  <c r="AF116" s="1"/>
  <c r="AF117" s="1"/>
  <c r="BB25"/>
  <c r="O276" i="38"/>
  <c r="E20" i="29"/>
  <c r="E26" s="1"/>
  <c r="AG68" i="12"/>
  <c r="AG67" s="1"/>
  <c r="AG109" s="1"/>
  <c r="X73"/>
  <c r="AD13"/>
  <c r="AJ136" i="16"/>
  <c r="AD102" i="12"/>
  <c r="AD107" s="1"/>
  <c r="P7" i="36"/>
  <c r="P6" s="1"/>
  <c r="AG69" i="12"/>
  <c r="G38" i="37"/>
  <c r="O69" i="12"/>
  <c r="P69" s="1"/>
  <c r="O8" i="35"/>
  <c r="O7" s="1"/>
  <c r="AD33" i="12"/>
  <c r="AD112" s="1"/>
  <c r="AD23"/>
  <c r="AD26" s="1"/>
  <c r="AO117" i="16"/>
  <c r="BA116"/>
  <c r="BA117" s="1"/>
  <c r="AW104" i="12" s="1"/>
  <c r="AW105" s="1"/>
  <c r="AW106" s="1"/>
  <c r="Z7" i="35"/>
  <c r="Z7" i="36"/>
  <c r="Z6" s="1"/>
  <c r="M7"/>
  <c r="M6" s="1"/>
  <c r="M7" i="35"/>
  <c r="N8"/>
  <c r="G18" i="23"/>
  <c r="P109" i="12"/>
  <c r="P103"/>
  <c r="AE21"/>
  <c r="AE13"/>
  <c r="AG71"/>
  <c r="K13" i="23" s="1"/>
  <c r="M13" s="1"/>
  <c r="J37" i="37"/>
  <c r="J38" s="1"/>
  <c r="I38"/>
  <c r="AE102" i="12"/>
  <c r="AE107" s="1"/>
  <c r="AE23"/>
  <c r="AE26" s="1"/>
  <c r="AN53"/>
  <c r="AN112"/>
  <c r="AN34"/>
  <c r="V73"/>
  <c r="V28"/>
  <c r="AD28"/>
  <c r="AD73"/>
  <c r="Z28"/>
  <c r="Z73"/>
  <c r="AW103"/>
  <c r="AW109"/>
  <c r="AE28"/>
  <c r="AE73"/>
  <c r="AM30"/>
  <c r="AP92" i="22" l="1"/>
  <c r="AM88" i="12"/>
  <c r="O35"/>
  <c r="H36"/>
  <c r="F5" i="22" s="1"/>
  <c r="F35"/>
  <c r="F64" s="1"/>
  <c r="F5" i="30"/>
  <c r="H102" i="12"/>
  <c r="F36" i="30"/>
  <c r="H33" i="12"/>
  <c r="K102"/>
  <c r="I36" i="30"/>
  <c r="K33" i="12"/>
  <c r="U20"/>
  <c r="T109" i="2"/>
  <c r="H5" i="30"/>
  <c r="J36" i="12"/>
  <c r="H5" i="22" s="1"/>
  <c r="H35"/>
  <c r="H64" s="1"/>
  <c r="J102" i="12"/>
  <c r="H36" i="30"/>
  <c r="J33" i="12"/>
  <c r="O36"/>
  <c r="M5" i="22" s="1"/>
  <c r="M5" i="30"/>
  <c r="M35" i="22"/>
  <c r="M64" s="1"/>
  <c r="K107" i="12"/>
  <c r="AO21"/>
  <c r="L36"/>
  <c r="J5" i="22" s="1"/>
  <c r="J35"/>
  <c r="J64" s="1"/>
  <c r="J5" i="30"/>
  <c r="J36"/>
  <c r="L102" i="12"/>
  <c r="L33"/>
  <c r="AK20"/>
  <c r="AX108" i="2"/>
  <c r="AY108" s="1"/>
  <c r="BA108" s="1"/>
  <c r="BB108" s="1"/>
  <c r="K36" i="12"/>
  <c r="I5" i="22" s="1"/>
  <c r="I5" i="30"/>
  <c r="I35" i="22"/>
  <c r="I64" s="1"/>
  <c r="C5" i="30"/>
  <c r="C35" i="22"/>
  <c r="C64" s="1"/>
  <c r="E36" i="12"/>
  <c r="C5" i="22" s="1"/>
  <c r="E102" i="12"/>
  <c r="C36" i="30"/>
  <c r="E33" i="12"/>
  <c r="B5" i="30"/>
  <c r="D36" i="12"/>
  <c r="B5" i="22" s="1"/>
  <c r="B35"/>
  <c r="B64" s="1"/>
  <c r="B36" i="30"/>
  <c r="D102" i="12"/>
  <c r="D33"/>
  <c r="U108" i="2"/>
  <c r="V20" i="12" s="1"/>
  <c r="V35" s="1"/>
  <c r="V36" s="1"/>
  <c r="Z5" i="22" s="1"/>
  <c r="AF49" i="2"/>
  <c r="AG49" s="1"/>
  <c r="AI49" s="1"/>
  <c r="AJ49" s="1"/>
  <c r="I35" i="12"/>
  <c r="I19"/>
  <c r="G37" i="30"/>
  <c r="E107" i="12"/>
  <c r="H107"/>
  <c r="L107"/>
  <c r="AG116" i="2"/>
  <c r="AT53" i="12"/>
  <c r="AT57" s="1"/>
  <c r="AT89" s="1"/>
  <c r="AX113" i="22" s="1"/>
  <c r="Y7" i="35"/>
  <c r="AL7"/>
  <c r="AL7" i="36"/>
  <c r="AL6" s="1"/>
  <c r="L108" i="16"/>
  <c r="L115"/>
  <c r="L116" s="1"/>
  <c r="L117" s="1"/>
  <c r="AV112" i="12"/>
  <c r="AV113" s="1"/>
  <c r="AK71"/>
  <c r="AW71" s="1"/>
  <c r="O13" i="23" s="1"/>
  <c r="Q13" s="1"/>
  <c r="AT34" i="12"/>
  <c r="AT37" s="1"/>
  <c r="AX6" i="22" s="1"/>
  <c r="AC7" i="36"/>
  <c r="AC6" s="1"/>
  <c r="AU30" i="12"/>
  <c r="AE34"/>
  <c r="AE50" s="1"/>
  <c r="AE51" s="1"/>
  <c r="AU53"/>
  <c r="AU60" s="1"/>
  <c r="AL34"/>
  <c r="AL50" s="1"/>
  <c r="AL51" s="1"/>
  <c r="AM53"/>
  <c r="AM57" s="1"/>
  <c r="AM89" s="1"/>
  <c r="AQ113" i="22" s="1"/>
  <c r="AV34" i="12"/>
  <c r="AV37" s="1"/>
  <c r="AZ6" i="22" s="1"/>
  <c r="AN30" i="12"/>
  <c r="Y17" i="5"/>
  <c r="Z18"/>
  <c r="Q21" i="4"/>
  <c r="P19"/>
  <c r="AU112" i="12"/>
  <c r="AU113" s="1"/>
  <c r="AE112"/>
  <c r="AE114" s="1"/>
  <c r="L132" i="3"/>
  <c r="O131"/>
  <c r="R52" i="2"/>
  <c r="R53"/>
  <c r="R51"/>
  <c r="K37" i="30"/>
  <c r="P20" i="12"/>
  <c r="N37" i="30" s="1"/>
  <c r="M35" i="12"/>
  <c r="Q51" i="2"/>
  <c r="Q52"/>
  <c r="Q53"/>
  <c r="AM34" i="12"/>
  <c r="AM50" s="1"/>
  <c r="AM51" s="1"/>
  <c r="AL53"/>
  <c r="AL57" s="1"/>
  <c r="AL89" s="1"/>
  <c r="AP113" i="22" s="1"/>
  <c r="X7" i="35"/>
  <c r="AB7" i="36"/>
  <c r="AB6" s="1"/>
  <c r="R7"/>
  <c r="R6" s="1"/>
  <c r="X104" i="12"/>
  <c r="X105" s="1"/>
  <c r="X106" s="1"/>
  <c r="X18"/>
  <c r="X13" s="1"/>
  <c r="AA104"/>
  <c r="AA105" s="1"/>
  <c r="AA106" s="1"/>
  <c r="AD34"/>
  <c r="AD37" s="1"/>
  <c r="AH6" i="22" s="1"/>
  <c r="X19" i="12"/>
  <c r="AJ7" i="35"/>
  <c r="AJ7" i="36"/>
  <c r="AJ6" s="1"/>
  <c r="F104" i="12"/>
  <c r="F105" s="1"/>
  <c r="F106" s="1"/>
  <c r="F107" s="1"/>
  <c r="F18"/>
  <c r="F21" s="1"/>
  <c r="G12" i="5"/>
  <c r="G13" s="1"/>
  <c r="G19" s="1"/>
  <c r="F28"/>
  <c r="AB104" i="12"/>
  <c r="AB105" s="1"/>
  <c r="AB106" s="1"/>
  <c r="AB18"/>
  <c r="Q115" i="16"/>
  <c r="Q116" s="1"/>
  <c r="Q117" s="1"/>
  <c r="Q108"/>
  <c r="Z108"/>
  <c r="Z115"/>
  <c r="Z116" s="1"/>
  <c r="Z117" s="1"/>
  <c r="P18" i="28"/>
  <c r="O17"/>
  <c r="R108" i="16"/>
  <c r="R115"/>
  <c r="R116" s="1"/>
  <c r="O18" i="6"/>
  <c r="N17"/>
  <c r="P108" i="16"/>
  <c r="P115"/>
  <c r="P116" s="1"/>
  <c r="P117" s="1"/>
  <c r="AG103" i="12"/>
  <c r="AF13"/>
  <c r="AF21"/>
  <c r="AF23"/>
  <c r="AF33"/>
  <c r="AF102"/>
  <c r="AF107" s="1"/>
  <c r="AE30"/>
  <c r="V19"/>
  <c r="V18"/>
  <c r="V104"/>
  <c r="V105" s="1"/>
  <c r="V106" s="1"/>
  <c r="J104"/>
  <c r="J105" s="1"/>
  <c r="J106" s="1"/>
  <c r="J107" s="1"/>
  <c r="J18"/>
  <c r="J21" s="1"/>
  <c r="AA18"/>
  <c r="D31"/>
  <c r="E29"/>
  <c r="E31" s="1"/>
  <c r="Z104"/>
  <c r="Z105" s="1"/>
  <c r="Z106" s="1"/>
  <c r="Z18"/>
  <c r="S38" i="16"/>
  <c r="AC104" i="12"/>
  <c r="AC105" s="1"/>
  <c r="AC106" s="1"/>
  <c r="AC18"/>
  <c r="G57"/>
  <c r="G89" s="1"/>
  <c r="E60" i="22"/>
  <c r="E63" s="1"/>
  <c r="G60" i="12"/>
  <c r="AB116" i="16"/>
  <c r="E16" i="36"/>
  <c r="E23"/>
  <c r="F30" i="12"/>
  <c r="F29"/>
  <c r="N10" i="22"/>
  <c r="S122" i="16"/>
  <c r="S123" s="1"/>
  <c r="C19" i="36"/>
  <c r="C24"/>
  <c r="AB92" i="22"/>
  <c r="Y88" i="12"/>
  <c r="F19" i="6"/>
  <c r="E20"/>
  <c r="E28" s="1"/>
  <c r="E27"/>
  <c r="D21" i="29"/>
  <c r="C27"/>
  <c r="BB26" i="16"/>
  <c r="BB27"/>
  <c r="F57" i="12"/>
  <c r="F89" s="1"/>
  <c r="D60" i="22"/>
  <c r="D63" s="1"/>
  <c r="F60" i="12"/>
  <c r="E28" i="28"/>
  <c r="F12"/>
  <c r="F13" s="1"/>
  <c r="F19" s="1"/>
  <c r="G114" i="12"/>
  <c r="G113"/>
  <c r="G37"/>
  <c r="E6" i="22" s="1"/>
  <c r="G50" i="12"/>
  <c r="G51" s="1"/>
  <c r="E4" i="22"/>
  <c r="AJ108" i="16"/>
  <c r="G18" i="35"/>
  <c r="F26"/>
  <c r="F17"/>
  <c r="F31"/>
  <c r="F17" i="36"/>
  <c r="T107" i="16"/>
  <c r="S108"/>
  <c r="G116"/>
  <c r="G117" s="1"/>
  <c r="E19" i="35"/>
  <c r="D20"/>
  <c r="D28" s="1"/>
  <c r="D27"/>
  <c r="D18" i="36"/>
  <c r="D92" i="22"/>
  <c r="G88" i="12"/>
  <c r="F14" i="4"/>
  <c r="F15" s="1"/>
  <c r="E31"/>
  <c r="F114" i="12"/>
  <c r="F113"/>
  <c r="F50"/>
  <c r="F51" s="1"/>
  <c r="D4" i="22"/>
  <c r="F37" i="12"/>
  <c r="D6" i="22" s="1"/>
  <c r="X33" i="12"/>
  <c r="X53" s="1"/>
  <c r="U18"/>
  <c r="U13" s="1"/>
  <c r="U19"/>
  <c r="U104"/>
  <c r="U105" s="1"/>
  <c r="U106" s="1"/>
  <c r="M6" i="30"/>
  <c r="AD53" i="12"/>
  <c r="AH60" i="22" s="1"/>
  <c r="M13" i="29"/>
  <c r="M20" s="1"/>
  <c r="N20" s="1"/>
  <c r="AD30" i="12"/>
  <c r="M5" i="34"/>
  <c r="O71" i="12"/>
  <c r="O73" s="1"/>
  <c r="O7" i="36"/>
  <c r="O6" s="1"/>
  <c r="AK104" i="12"/>
  <c r="AK105" s="1"/>
  <c r="AK106" s="1"/>
  <c r="AK19"/>
  <c r="AK18"/>
  <c r="N7" i="36"/>
  <c r="N6" s="1"/>
  <c r="N7" i="35"/>
  <c r="G17" i="23"/>
  <c r="I18"/>
  <c r="N6" i="30"/>
  <c r="N5" i="34"/>
  <c r="K18" i="23"/>
  <c r="AG28" i="12"/>
  <c r="AD114"/>
  <c r="AD113"/>
  <c r="AM113"/>
  <c r="AM114"/>
  <c r="AU50"/>
  <c r="AU51" s="1"/>
  <c r="AU37"/>
  <c r="AY6" i="22" s="1"/>
  <c r="V29" i="12"/>
  <c r="AI60" i="22"/>
  <c r="AE57" i="12"/>
  <c r="AE89" s="1"/>
  <c r="AE60"/>
  <c r="AL114"/>
  <c r="AL113"/>
  <c r="AN50"/>
  <c r="AN51" s="1"/>
  <c r="AN37"/>
  <c r="AR6" i="22" s="1"/>
  <c r="AN60" i="12"/>
  <c r="AN57"/>
  <c r="AN89" s="1"/>
  <c r="AR113" i="22" s="1"/>
  <c r="AR60"/>
  <c r="AT114" i="12"/>
  <c r="AT113"/>
  <c r="AV60"/>
  <c r="AZ60" i="22"/>
  <c r="AV57" i="12"/>
  <c r="AV89" s="1"/>
  <c r="AZ113" i="22" s="1"/>
  <c r="AN114" i="12"/>
  <c r="AN113"/>
  <c r="AN88" l="1"/>
  <c r="AQ92" i="22"/>
  <c r="AU57" i="12"/>
  <c r="AU89" s="1"/>
  <c r="AY113" i="22" s="1"/>
  <c r="AT60" i="12"/>
  <c r="AV114"/>
  <c r="AV115" s="1"/>
  <c r="AX60" i="22"/>
  <c r="G5" i="30"/>
  <c r="G35" i="22"/>
  <c r="G64" s="1"/>
  <c r="I36" i="12"/>
  <c r="G5" i="22" s="1"/>
  <c r="J36"/>
  <c r="L112" i="12"/>
  <c r="J4" i="30"/>
  <c r="L53" i="12"/>
  <c r="L34"/>
  <c r="L48" s="1"/>
  <c r="I4" i="30"/>
  <c r="K34" i="12"/>
  <c r="K48" s="1"/>
  <c r="I36" i="22"/>
  <c r="K112" i="12"/>
  <c r="K53"/>
  <c r="AF108" i="2"/>
  <c r="AG108" s="1"/>
  <c r="AI108" s="1"/>
  <c r="AJ108" s="1"/>
  <c r="G36" i="30"/>
  <c r="I102" i="12"/>
  <c r="I33"/>
  <c r="D53"/>
  <c r="D112"/>
  <c r="B36" i="22"/>
  <c r="B4" i="30"/>
  <c r="D34" i="12"/>
  <c r="D48" s="1"/>
  <c r="E34"/>
  <c r="E48" s="1"/>
  <c r="C36" i="22"/>
  <c r="E112" i="12"/>
  <c r="E53"/>
  <c r="C4" i="30"/>
  <c r="AW20" i="12"/>
  <c r="AK35"/>
  <c r="J112"/>
  <c r="H4" i="30"/>
  <c r="J53" i="12"/>
  <c r="H36" i="22"/>
  <c r="J34" i="12"/>
  <c r="J48" s="1"/>
  <c r="U35"/>
  <c r="AG20"/>
  <c r="H34"/>
  <c r="H48" s="1"/>
  <c r="H112"/>
  <c r="F4" i="30"/>
  <c r="F36" i="22"/>
  <c r="H53" i="12"/>
  <c r="P64" i="22"/>
  <c r="I18" i="12"/>
  <c r="I21" s="1"/>
  <c r="I104"/>
  <c r="I105" s="1"/>
  <c r="I106" s="1"/>
  <c r="I107" s="1"/>
  <c r="AK28"/>
  <c r="AK29" s="1"/>
  <c r="AL37"/>
  <c r="AP6" i="22" s="1"/>
  <c r="AT50" i="12"/>
  <c r="AT51" s="1"/>
  <c r="AT46" s="1"/>
  <c r="AT80" s="1"/>
  <c r="AV50"/>
  <c r="AV51" s="1"/>
  <c r="AV85" s="1"/>
  <c r="AE37"/>
  <c r="AI6" i="22" s="1"/>
  <c r="AI4"/>
  <c r="AM60" i="12"/>
  <c r="AY60" i="22"/>
  <c r="AQ60"/>
  <c r="AE113" i="12"/>
  <c r="AP60" i="22"/>
  <c r="AU114" i="12"/>
  <c r="AU116" s="1"/>
  <c r="AA18" i="5"/>
  <c r="Z17"/>
  <c r="R21" i="4"/>
  <c r="Q19"/>
  <c r="S116" i="16"/>
  <c r="S117" s="1"/>
  <c r="P104" i="12" s="1"/>
  <c r="P105" s="1"/>
  <c r="P106" s="1"/>
  <c r="AM37"/>
  <c r="AQ6" i="22" s="1"/>
  <c r="L136" i="3"/>
  <c r="O132"/>
  <c r="K5" i="30"/>
  <c r="P35" i="12"/>
  <c r="K35" i="22"/>
  <c r="K64" s="1"/>
  <c r="O64" s="1"/>
  <c r="M36" i="12"/>
  <c r="K5" i="22" s="1"/>
  <c r="AD50" i="12"/>
  <c r="AD51" s="1"/>
  <c r="AD85" s="1"/>
  <c r="AL60"/>
  <c r="I17" i="23"/>
  <c r="AH4" i="22"/>
  <c r="AD60" i="12"/>
  <c r="X21"/>
  <c r="S115" i="16"/>
  <c r="AJ115"/>
  <c r="R117"/>
  <c r="O19" i="12" s="1"/>
  <c r="X23"/>
  <c r="X102"/>
  <c r="X107" s="1"/>
  <c r="AD57"/>
  <c r="AD89" s="1"/>
  <c r="M141" s="1"/>
  <c r="AB13"/>
  <c r="AB21"/>
  <c r="G20" i="5"/>
  <c r="G27"/>
  <c r="P17" i="28"/>
  <c r="Q18"/>
  <c r="N19" i="12"/>
  <c r="N104"/>
  <c r="N105" s="1"/>
  <c r="N106" s="1"/>
  <c r="N18"/>
  <c r="N21" s="1"/>
  <c r="W19"/>
  <c r="W104"/>
  <c r="W105" s="1"/>
  <c r="W106" s="1"/>
  <c r="W18"/>
  <c r="O17" i="6"/>
  <c r="P18"/>
  <c r="X112" i="12"/>
  <c r="X114" s="1"/>
  <c r="M104"/>
  <c r="M105" s="1"/>
  <c r="M106" s="1"/>
  <c r="M19"/>
  <c r="M18"/>
  <c r="M21" s="1"/>
  <c r="AF34"/>
  <c r="AF112"/>
  <c r="AF53"/>
  <c r="AF26"/>
  <c r="AF30"/>
  <c r="Z13"/>
  <c r="Z21"/>
  <c r="V13"/>
  <c r="V21"/>
  <c r="AA21"/>
  <c r="AA13"/>
  <c r="V23"/>
  <c r="V33"/>
  <c r="V102"/>
  <c r="V107" s="1"/>
  <c r="F85"/>
  <c r="F46"/>
  <c r="F115"/>
  <c r="F116"/>
  <c r="F12" i="36"/>
  <c r="F11" s="1"/>
  <c r="F22" i="4"/>
  <c r="F19" i="35"/>
  <c r="E20"/>
  <c r="E28" s="1"/>
  <c r="E27"/>
  <c r="E18" i="36"/>
  <c r="G128" i="16"/>
  <c r="G129" s="1"/>
  <c r="D104" i="12"/>
  <c r="D105" s="1"/>
  <c r="D106" s="1"/>
  <c r="D107" s="1"/>
  <c r="D18"/>
  <c r="D21" s="1"/>
  <c r="G130" i="16" s="1"/>
  <c r="G85" i="12"/>
  <c r="G46"/>
  <c r="G80" s="1"/>
  <c r="F133"/>
  <c r="D113" i="22"/>
  <c r="E21" i="29"/>
  <c r="D27"/>
  <c r="Z88" i="12"/>
  <c r="AC92" i="22"/>
  <c r="F31" i="12"/>
  <c r="G29"/>
  <c r="AC21"/>
  <c r="AC13"/>
  <c r="H88"/>
  <c r="E92" i="22"/>
  <c r="D19" i="36"/>
  <c r="D24"/>
  <c r="F16"/>
  <c r="F23"/>
  <c r="G17" i="35"/>
  <c r="G31"/>
  <c r="G17" i="36"/>
  <c r="H18" i="35"/>
  <c r="G26"/>
  <c r="G115" i="12"/>
  <c r="G116"/>
  <c r="F27" i="28"/>
  <c r="F20"/>
  <c r="F20" i="6"/>
  <c r="F27"/>
  <c r="AB117" i="16"/>
  <c r="AJ116"/>
  <c r="AJ117" s="1"/>
  <c r="AG104" i="12" s="1"/>
  <c r="AG105" s="1"/>
  <c r="AG106" s="1"/>
  <c r="E113" i="22"/>
  <c r="G133" i="12"/>
  <c r="X34"/>
  <c r="AB4" i="22" s="1"/>
  <c r="U21" i="12"/>
  <c r="U23"/>
  <c r="U26" s="1"/>
  <c r="U102"/>
  <c r="U107" s="1"/>
  <c r="U33"/>
  <c r="U34" s="1"/>
  <c r="M18" i="29"/>
  <c r="N18" s="1"/>
  <c r="P71" i="12"/>
  <c r="G13" i="23" s="1"/>
  <c r="N13" i="29"/>
  <c r="O28" i="12"/>
  <c r="P28" s="1"/>
  <c r="Q28" s="1"/>
  <c r="AW18"/>
  <c r="AK21"/>
  <c r="AW21" s="1"/>
  <c r="AK33"/>
  <c r="AK102"/>
  <c r="AK107" s="1"/>
  <c r="AK23"/>
  <c r="X57"/>
  <c r="X89" s="1"/>
  <c r="AB60" i="22"/>
  <c r="X60" i="12"/>
  <c r="M26" i="29"/>
  <c r="N26" s="1"/>
  <c r="K17" i="23"/>
  <c r="M17" s="1"/>
  <c r="M18"/>
  <c r="AN116" i="12"/>
  <c r="AN115"/>
  <c r="AE115"/>
  <c r="AE116"/>
  <c r="AN85"/>
  <c r="AN46"/>
  <c r="AN80" s="1"/>
  <c r="AL115"/>
  <c r="AL116"/>
  <c r="AL85"/>
  <c r="AL46"/>
  <c r="AL80" s="1"/>
  <c r="N141"/>
  <c r="AI113" i="22"/>
  <c r="AE85" i="12"/>
  <c r="AE46"/>
  <c r="AE80" s="1"/>
  <c r="W29"/>
  <c r="AU85"/>
  <c r="AU46"/>
  <c r="AU80" s="1"/>
  <c r="AD116"/>
  <c r="AD115"/>
  <c r="AT116"/>
  <c r="AT115"/>
  <c r="AM115"/>
  <c r="AM116"/>
  <c r="AM85"/>
  <c r="AM46"/>
  <c r="AM80" s="1"/>
  <c r="AR92" i="22" l="1"/>
  <c r="AO88" i="12"/>
  <c r="AV116"/>
  <c r="AW28"/>
  <c r="F60" i="22"/>
  <c r="F63" s="1"/>
  <c r="H57" i="12"/>
  <c r="H89" s="1"/>
  <c r="H60"/>
  <c r="H50"/>
  <c r="H51" s="1"/>
  <c r="H37"/>
  <c r="F6" i="22" s="1"/>
  <c r="F4"/>
  <c r="U36" i="12"/>
  <c r="Y5" i="22" s="1"/>
  <c r="AG35" i="12"/>
  <c r="AK36"/>
  <c r="AW35"/>
  <c r="E114"/>
  <c r="E113"/>
  <c r="C4" i="22"/>
  <c r="E37" i="12"/>
  <c r="C6" i="22" s="1"/>
  <c r="E50" i="12"/>
  <c r="E51" s="1"/>
  <c r="D113"/>
  <c r="D114"/>
  <c r="I34"/>
  <c r="I48" s="1"/>
  <c r="I53"/>
  <c r="G36" i="22"/>
  <c r="G4" i="30"/>
  <c r="I112" i="12"/>
  <c r="K60"/>
  <c r="K57"/>
  <c r="K89" s="1"/>
  <c r="I60" i="22"/>
  <c r="I63" s="1"/>
  <c r="J60"/>
  <c r="J63" s="1"/>
  <c r="L60" i="12"/>
  <c r="L57"/>
  <c r="L89" s="1"/>
  <c r="L114"/>
  <c r="L113"/>
  <c r="H114"/>
  <c r="H113"/>
  <c r="J37"/>
  <c r="H6" i="22" s="1"/>
  <c r="J50" i="12"/>
  <c r="J51" s="1"/>
  <c r="H4" i="22"/>
  <c r="J57" i="12"/>
  <c r="J89" s="1"/>
  <c r="H60" i="22"/>
  <c r="H63" s="1"/>
  <c r="J60" i="12"/>
  <c r="J113"/>
  <c r="J114"/>
  <c r="E57"/>
  <c r="E89" s="1"/>
  <c r="C60" i="22"/>
  <c r="C63" s="1"/>
  <c r="E60" i="12"/>
  <c r="B4" i="22"/>
  <c r="D37" i="12"/>
  <c r="B6" i="22" s="1"/>
  <c r="D50" i="12"/>
  <c r="D51" s="1"/>
  <c r="D57"/>
  <c r="D89" s="1"/>
  <c r="D60"/>
  <c r="D61" s="1"/>
  <c r="D54"/>
  <c r="B60" i="22"/>
  <c r="B63" s="1"/>
  <c r="K113" i="12"/>
  <c r="K114"/>
  <c r="I4" i="22"/>
  <c r="K37" i="12"/>
  <c r="I6" i="22" s="1"/>
  <c r="K50" i="12"/>
  <c r="K51" s="1"/>
  <c r="L50"/>
  <c r="L51" s="1"/>
  <c r="L37"/>
  <c r="J6" i="22" s="1"/>
  <c r="J4"/>
  <c r="AK30" i="12"/>
  <c r="AV46"/>
  <c r="AV80" s="1"/>
  <c r="AT85"/>
  <c r="AU115"/>
  <c r="AB18" i="5"/>
  <c r="AA17"/>
  <c r="S21" i="4"/>
  <c r="R19"/>
  <c r="AD46" i="12"/>
  <c r="AD80" s="1"/>
  <c r="L137" i="3"/>
  <c r="O136"/>
  <c r="O137" s="1"/>
  <c r="N5" i="30"/>
  <c r="D39" i="12"/>
  <c r="H39"/>
  <c r="L39"/>
  <c r="P39"/>
  <c r="N7" i="22" s="1"/>
  <c r="E39" i="12"/>
  <c r="I39"/>
  <c r="M39"/>
  <c r="M43" s="1"/>
  <c r="N35" i="22"/>
  <c r="N64" s="1"/>
  <c r="P36" i="12"/>
  <c r="N5" i="22" s="1"/>
  <c r="F39" i="12"/>
  <c r="J39"/>
  <c r="N39"/>
  <c r="G39"/>
  <c r="K39"/>
  <c r="O39"/>
  <c r="AH113" i="22"/>
  <c r="I13" i="23"/>
  <c r="O104" i="12"/>
  <c r="O105" s="1"/>
  <c r="O106" s="1"/>
  <c r="X50"/>
  <c r="X51" s="1"/>
  <c r="X85" s="1"/>
  <c r="O18"/>
  <c r="P18" s="1"/>
  <c r="AJ109" i="16"/>
  <c r="AJ122" s="1"/>
  <c r="AJ123" s="1"/>
  <c r="M36" i="30"/>
  <c r="O102" i="12"/>
  <c r="O33"/>
  <c r="O53" s="1"/>
  <c r="P19"/>
  <c r="N36" i="30" s="1"/>
  <c r="X113" i="12"/>
  <c r="X26"/>
  <c r="X30"/>
  <c r="H12" i="5"/>
  <c r="H13" s="1"/>
  <c r="H19" s="1"/>
  <c r="G28"/>
  <c r="W13" i="12"/>
  <c r="W21"/>
  <c r="W23"/>
  <c r="W33"/>
  <c r="W102"/>
  <c r="W107" s="1"/>
  <c r="N33"/>
  <c r="N102"/>
  <c r="N107" s="1"/>
  <c r="L36" i="30"/>
  <c r="Q17" i="28"/>
  <c r="R18"/>
  <c r="M33" i="12"/>
  <c r="M102"/>
  <c r="M107" s="1"/>
  <c r="K36" i="30"/>
  <c r="Q18" i="6"/>
  <c r="P17"/>
  <c r="AF60" i="12"/>
  <c r="AJ60" i="22"/>
  <c r="AF57" i="12"/>
  <c r="AF89" s="1"/>
  <c r="AF50"/>
  <c r="AF51" s="1"/>
  <c r="AJ4" i="22"/>
  <c r="AF37" i="12"/>
  <c r="AJ6" i="22" s="1"/>
  <c r="AF113" i="12"/>
  <c r="AF114"/>
  <c r="V26"/>
  <c r="V30"/>
  <c r="V53"/>
  <c r="V112"/>
  <c r="V34"/>
  <c r="Y104"/>
  <c r="Y105" s="1"/>
  <c r="Y106" s="1"/>
  <c r="Y18"/>
  <c r="G12" i="28"/>
  <c r="G13" s="1"/>
  <c r="G19" s="1"/>
  <c r="F28"/>
  <c r="I18" i="35"/>
  <c r="H26"/>
  <c r="H17" i="36"/>
  <c r="H17" i="35"/>
  <c r="H31"/>
  <c r="AD92" i="22"/>
  <c r="AA88" i="12"/>
  <c r="F21" i="29"/>
  <c r="E27"/>
  <c r="F20" i="35"/>
  <c r="F27"/>
  <c r="G131" i="16"/>
  <c r="F28" i="6"/>
  <c r="G12"/>
  <c r="G13" s="1"/>
  <c r="G16" i="36"/>
  <c r="G23"/>
  <c r="F92" i="22"/>
  <c r="I88" i="12"/>
  <c r="H29"/>
  <c r="G31"/>
  <c r="E19" i="36"/>
  <c r="E24"/>
  <c r="F23" i="4"/>
  <c r="F30"/>
  <c r="F18" i="36"/>
  <c r="F80" i="12"/>
  <c r="X37"/>
  <c r="AB6" i="22" s="1"/>
  <c r="U25" i="12"/>
  <c r="U31" s="1"/>
  <c r="U30"/>
  <c r="U112"/>
  <c r="U113" s="1"/>
  <c r="U53"/>
  <c r="U57" s="1"/>
  <c r="U89" s="1"/>
  <c r="AK26"/>
  <c r="AK25"/>
  <c r="AL25" s="1"/>
  <c r="AM25" s="1"/>
  <c r="AN25" s="1"/>
  <c r="AK112"/>
  <c r="AK34"/>
  <c r="AK53"/>
  <c r="G141"/>
  <c r="AB113" i="22"/>
  <c r="X115" i="12"/>
  <c r="X116"/>
  <c r="M67" i="30"/>
  <c r="P23" i="12"/>
  <c r="O26"/>
  <c r="O30"/>
  <c r="U37"/>
  <c r="Y6" i="22" s="1"/>
  <c r="U50" i="12"/>
  <c r="U51" s="1"/>
  <c r="Y4" i="22"/>
  <c r="AL29" i="12"/>
  <c r="X29"/>
  <c r="AP88" l="1"/>
  <c r="AS92" i="22"/>
  <c r="AK31" i="12"/>
  <c r="K46"/>
  <c r="K80" s="1"/>
  <c r="K85"/>
  <c r="B91" i="22"/>
  <c r="D58" i="12"/>
  <c r="D133"/>
  <c r="D90"/>
  <c r="B113" i="22"/>
  <c r="J115" i="12"/>
  <c r="J116"/>
  <c r="H113" i="22"/>
  <c r="J133" i="12"/>
  <c r="J85"/>
  <c r="J46"/>
  <c r="J80" s="1"/>
  <c r="J113" i="22"/>
  <c r="L133" i="12"/>
  <c r="K133"/>
  <c r="I113" i="22"/>
  <c r="G60"/>
  <c r="G63" s="1"/>
  <c r="I60" i="12"/>
  <c r="I57"/>
  <c r="I89" s="1"/>
  <c r="D115"/>
  <c r="D116"/>
  <c r="E85"/>
  <c r="E46"/>
  <c r="E80" s="1"/>
  <c r="E116"/>
  <c r="E115"/>
  <c r="E61"/>
  <c r="F61" s="1"/>
  <c r="G61" s="1"/>
  <c r="H61" s="1"/>
  <c r="I61" s="1"/>
  <c r="J61" s="1"/>
  <c r="K61" s="1"/>
  <c r="L61" s="1"/>
  <c r="E54"/>
  <c r="L46"/>
  <c r="L80" s="1"/>
  <c r="L85"/>
  <c r="K115"/>
  <c r="K116"/>
  <c r="D52"/>
  <c r="E52" s="1"/>
  <c r="F52" s="1"/>
  <c r="G52" s="1"/>
  <c r="H52" s="1"/>
  <c r="D85"/>
  <c r="D86" s="1"/>
  <c r="E86" s="1"/>
  <c r="F86" s="1"/>
  <c r="G86" s="1"/>
  <c r="D46"/>
  <c r="C113" i="22"/>
  <c r="E133" i="12"/>
  <c r="H116"/>
  <c r="H115"/>
  <c r="L116"/>
  <c r="L115"/>
  <c r="I114"/>
  <c r="I113"/>
  <c r="G4" i="22"/>
  <c r="I50" i="12"/>
  <c r="I51" s="1"/>
  <c r="I37"/>
  <c r="G6" i="22" s="1"/>
  <c r="AW36" i="12"/>
  <c r="AQ39"/>
  <c r="AQ40" s="1"/>
  <c r="AL39"/>
  <c r="AP39"/>
  <c r="AP40" s="1"/>
  <c r="AT39"/>
  <c r="AK39"/>
  <c r="AK40" s="1"/>
  <c r="AS39"/>
  <c r="AS40" s="1"/>
  <c r="AM39"/>
  <c r="AU39"/>
  <c r="AN39"/>
  <c r="AR39"/>
  <c r="AR40" s="1"/>
  <c r="AV39"/>
  <c r="AO39"/>
  <c r="AO40" s="1"/>
  <c r="AW39"/>
  <c r="W39"/>
  <c r="AA7" i="22" s="1"/>
  <c r="Y39" i="12"/>
  <c r="AC7" i="22" s="1"/>
  <c r="AA39" i="12"/>
  <c r="AE7" i="22" s="1"/>
  <c r="AC39" i="12"/>
  <c r="AG7" i="22" s="1"/>
  <c r="AE39" i="12"/>
  <c r="AG39"/>
  <c r="AK7" i="22" s="1"/>
  <c r="AG36" i="12"/>
  <c r="AK5" i="22" s="1"/>
  <c r="V39" i="12"/>
  <c r="Z7" i="22" s="1"/>
  <c r="X39" i="12"/>
  <c r="Z39"/>
  <c r="AD7" i="22" s="1"/>
  <c r="AB39" i="12"/>
  <c r="AF7" i="22" s="1"/>
  <c r="AD39" i="12"/>
  <c r="AF39"/>
  <c r="U39"/>
  <c r="H85"/>
  <c r="H46"/>
  <c r="H80" s="1"/>
  <c r="F113" i="22"/>
  <c r="H133" i="12"/>
  <c r="AB17" i="5"/>
  <c r="AC18"/>
  <c r="T21" i="4"/>
  <c r="S19"/>
  <c r="O40" i="12"/>
  <c r="M65" i="22" s="1"/>
  <c r="M66" s="1"/>
  <c r="M7"/>
  <c r="E7"/>
  <c r="G43" i="12"/>
  <c r="G40"/>
  <c r="E65" i="22" s="1"/>
  <c r="E66" s="1"/>
  <c r="G45" i="12"/>
  <c r="E9" i="22" s="1"/>
  <c r="J40" i="12"/>
  <c r="H65" i="22" s="1"/>
  <c r="H66" s="1"/>
  <c r="H7"/>
  <c r="J43" i="12"/>
  <c r="J45"/>
  <c r="H9" i="22" s="1"/>
  <c r="M40" i="12"/>
  <c r="K65" i="22" s="1"/>
  <c r="K66" s="1"/>
  <c r="K7"/>
  <c r="E40" i="12"/>
  <c r="C65" i="22" s="1"/>
  <c r="C66" s="1"/>
  <c r="C7"/>
  <c r="E43" i="12"/>
  <c r="E45"/>
  <c r="C9" i="22" s="1"/>
  <c r="L40" i="12"/>
  <c r="J65" i="22" s="1"/>
  <c r="J66" s="1"/>
  <c r="J7"/>
  <c r="L43" i="12"/>
  <c r="L45"/>
  <c r="J9" i="22" s="1"/>
  <c r="B7"/>
  <c r="D40" i="12"/>
  <c r="D43"/>
  <c r="D44" s="1"/>
  <c r="E44" s="1"/>
  <c r="D45"/>
  <c r="B9" i="22" s="1"/>
  <c r="K40" i="12"/>
  <c r="I65" i="22" s="1"/>
  <c r="I66" s="1"/>
  <c r="I7"/>
  <c r="K43" i="12"/>
  <c r="K45"/>
  <c r="I9" i="22" s="1"/>
  <c r="N40" i="12"/>
  <c r="L65" i="22" s="1"/>
  <c r="L66" s="1"/>
  <c r="L7"/>
  <c r="F43" i="12"/>
  <c r="D7" i="22"/>
  <c r="F40" i="12"/>
  <c r="D65" i="22" s="1"/>
  <c r="D66" s="1"/>
  <c r="F45" i="12"/>
  <c r="D9" i="22" s="1"/>
  <c r="I40" i="12"/>
  <c r="G65" i="22" s="1"/>
  <c r="G66" s="1"/>
  <c r="G7"/>
  <c r="I43" i="12"/>
  <c r="I45"/>
  <c r="G9" i="22" s="1"/>
  <c r="F7"/>
  <c r="H43" i="12"/>
  <c r="H40"/>
  <c r="F65" i="22" s="1"/>
  <c r="H45" i="12"/>
  <c r="F9" i="22" s="1"/>
  <c r="O21" i="12"/>
  <c r="P21" s="1"/>
  <c r="O107"/>
  <c r="X46"/>
  <c r="X80" s="1"/>
  <c r="P102"/>
  <c r="P107" s="1"/>
  <c r="M4" i="30"/>
  <c r="O112" i="12"/>
  <c r="O113" s="1"/>
  <c r="P33"/>
  <c r="N4" i="30" s="1"/>
  <c r="O34" i="12"/>
  <c r="M36" i="22"/>
  <c r="H20" i="5"/>
  <c r="H27"/>
  <c r="U54" i="12"/>
  <c r="U58" s="1"/>
  <c r="N30"/>
  <c r="N26"/>
  <c r="L67" i="30"/>
  <c r="N112" i="12"/>
  <c r="N34"/>
  <c r="N48" s="1"/>
  <c r="L4" i="30"/>
  <c r="L36" i="22"/>
  <c r="N53" i="12"/>
  <c r="W112"/>
  <c r="W34"/>
  <c r="W53"/>
  <c r="S18" i="28"/>
  <c r="R17"/>
  <c r="W30" i="12"/>
  <c r="W26"/>
  <c r="K67" i="30"/>
  <c r="M30" i="12"/>
  <c r="M26"/>
  <c r="M25"/>
  <c r="N25" s="1"/>
  <c r="O25" s="1"/>
  <c r="K4" i="30"/>
  <c r="M34" i="12"/>
  <c r="M48" s="1"/>
  <c r="K36" i="22"/>
  <c r="M112" i="12"/>
  <c r="M53"/>
  <c r="P53" s="1"/>
  <c r="Q17" i="6"/>
  <c r="R18"/>
  <c r="P30" i="12"/>
  <c r="AF115"/>
  <c r="AF116"/>
  <c r="AJ113" i="22"/>
  <c r="O141" i="12"/>
  <c r="AF85"/>
  <c r="AF46"/>
  <c r="AF80" s="1"/>
  <c r="V114"/>
  <c r="V113"/>
  <c r="V37"/>
  <c r="Z6" i="22" s="1"/>
  <c r="Z4"/>
  <c r="V50" i="12"/>
  <c r="V51" s="1"/>
  <c r="V45"/>
  <c r="Z9" i="22" s="1"/>
  <c r="Z60"/>
  <c r="V57" i="12"/>
  <c r="V89" s="1"/>
  <c r="V60"/>
  <c r="J88"/>
  <c r="G92" i="22"/>
  <c r="G13" i="35"/>
  <c r="G19" s="1"/>
  <c r="G19" i="6"/>
  <c r="G21" i="29"/>
  <c r="F27"/>
  <c r="Y13" i="12"/>
  <c r="AG13" s="1"/>
  <c r="Y21"/>
  <c r="AG21" s="1"/>
  <c r="AG18"/>
  <c r="F19" i="36"/>
  <c r="G16" i="37" s="1"/>
  <c r="F24" i="36"/>
  <c r="G14" i="4"/>
  <c r="G15" s="1"/>
  <c r="F31"/>
  <c r="H31" i="12"/>
  <c r="I29"/>
  <c r="G12" i="35"/>
  <c r="F28"/>
  <c r="AE92" i="22"/>
  <c r="AB88" i="12"/>
  <c r="H16" i="36"/>
  <c r="H23"/>
  <c r="I17" i="35"/>
  <c r="I31"/>
  <c r="J18"/>
  <c r="I26"/>
  <c r="I17" i="36"/>
  <c r="G27" i="28"/>
  <c r="G20"/>
  <c r="V25" i="12"/>
  <c r="W25" s="1"/>
  <c r="U114"/>
  <c r="U115" s="1"/>
  <c r="U60"/>
  <c r="U61" s="1"/>
  <c r="Y60" i="22"/>
  <c r="AK60" i="12"/>
  <c r="AK61" s="1"/>
  <c r="AL61" s="1"/>
  <c r="AM61" s="1"/>
  <c r="AN61" s="1"/>
  <c r="AO60" i="22"/>
  <c r="AK54" i="12"/>
  <c r="AK57"/>
  <c r="AK89" s="1"/>
  <c r="AO113" i="22" s="1"/>
  <c r="AK113" i="12"/>
  <c r="AK114"/>
  <c r="AK45"/>
  <c r="AK50"/>
  <c r="AK51" s="1"/>
  <c r="AK37"/>
  <c r="AO6" i="22" s="1"/>
  <c r="O37" i="12"/>
  <c r="M6" i="22" s="1"/>
  <c r="P26" i="12"/>
  <c r="G11" i="23"/>
  <c r="N67" i="30"/>
  <c r="O57" i="12"/>
  <c r="O60"/>
  <c r="M60" i="22"/>
  <c r="M63" s="1"/>
  <c r="U52" i="12"/>
  <c r="U85"/>
  <c r="U46"/>
  <c r="Y113" i="22"/>
  <c r="D141" i="12"/>
  <c r="AL31"/>
  <c r="AM29"/>
  <c r="Y29"/>
  <c r="M4" i="22" l="1"/>
  <c r="O48" i="12"/>
  <c r="AQ88"/>
  <c r="AT92" i="22"/>
  <c r="V61" i="12"/>
  <c r="Y7" i="22"/>
  <c r="U45" i="12"/>
  <c r="Y9" i="22" s="1"/>
  <c r="AH7"/>
  <c r="AD45" i="12"/>
  <c r="AH9" i="22" s="1"/>
  <c r="AV40" i="12"/>
  <c r="AV45"/>
  <c r="AN40"/>
  <c r="AN45"/>
  <c r="AM40"/>
  <c r="AM45"/>
  <c r="I115"/>
  <c r="I116"/>
  <c r="F54"/>
  <c r="C91" i="22"/>
  <c r="E58" i="12"/>
  <c r="H86"/>
  <c r="AJ7" i="22"/>
  <c r="AF45" i="12"/>
  <c r="AJ9" i="22" s="1"/>
  <c r="AB7"/>
  <c r="X45" i="12"/>
  <c r="AB9" i="22" s="1"/>
  <c r="AI7"/>
  <c r="AE45" i="12"/>
  <c r="AI9" i="22" s="1"/>
  <c r="AU40" i="12"/>
  <c r="AU45"/>
  <c r="AT40"/>
  <c r="AT45"/>
  <c r="AL40"/>
  <c r="AW40" s="1"/>
  <c r="AL45"/>
  <c r="I85"/>
  <c r="I46"/>
  <c r="I80" s="1"/>
  <c r="D47"/>
  <c r="E47" s="1"/>
  <c r="F47" s="1"/>
  <c r="G47" s="1"/>
  <c r="H47" s="1"/>
  <c r="D80"/>
  <c r="D81" s="1"/>
  <c r="E81" s="1"/>
  <c r="F81" s="1"/>
  <c r="G81" s="1"/>
  <c r="H81" s="1"/>
  <c r="I81" s="1"/>
  <c r="J81" s="1"/>
  <c r="K81" s="1"/>
  <c r="L81" s="1"/>
  <c r="G113" i="22"/>
  <c r="I133" i="12"/>
  <c r="D134"/>
  <c r="B114" i="22"/>
  <c r="E90" i="12"/>
  <c r="I52"/>
  <c r="J52" s="1"/>
  <c r="K52" s="1"/>
  <c r="L52" s="1"/>
  <c r="P34"/>
  <c r="P50" s="1"/>
  <c r="AC17" i="5"/>
  <c r="AD18"/>
  <c r="T19" i="4"/>
  <c r="U21"/>
  <c r="V52" i="12"/>
  <c r="F66" i="22"/>
  <c r="P65"/>
  <c r="P66" s="1"/>
  <c r="F44" i="12"/>
  <c r="G44" s="1"/>
  <c r="H44" s="1"/>
  <c r="I44" s="1"/>
  <c r="J44" s="1"/>
  <c r="K44" s="1"/>
  <c r="L44" s="1"/>
  <c r="M44" s="1"/>
  <c r="B65" i="22"/>
  <c r="P40" i="12"/>
  <c r="N36" i="22"/>
  <c r="G12" i="23"/>
  <c r="U116" i="12"/>
  <c r="O114"/>
  <c r="O115" s="1"/>
  <c r="P112"/>
  <c r="P114" s="1"/>
  <c r="P115" s="1"/>
  <c r="O45"/>
  <c r="M9" i="22" s="1"/>
  <c r="O50" i="12"/>
  <c r="O51" s="1"/>
  <c r="Y91" i="22"/>
  <c r="V54" i="12"/>
  <c r="Z91" i="22" s="1"/>
  <c r="I12" i="5"/>
  <c r="I13" s="1"/>
  <c r="I19" s="1"/>
  <c r="H28"/>
  <c r="W37" i="12"/>
  <c r="AA6" i="22" s="1"/>
  <c r="W45" i="12"/>
  <c r="AA9" i="22" s="1"/>
  <c r="W50" i="12"/>
  <c r="W51" s="1"/>
  <c r="AA4" i="22"/>
  <c r="N50" i="12"/>
  <c r="N51" s="1"/>
  <c r="L4" i="22"/>
  <c r="N37" i="12"/>
  <c r="L6" i="22" s="1"/>
  <c r="N45" i="12"/>
  <c r="L9" i="22" s="1"/>
  <c r="S17" i="28"/>
  <c r="T18"/>
  <c r="W57" i="12"/>
  <c r="W89" s="1"/>
  <c r="AA60" i="22"/>
  <c r="W60" i="12"/>
  <c r="W113"/>
  <c r="W114"/>
  <c r="N60"/>
  <c r="L60" i="22"/>
  <c r="L63" s="1"/>
  <c r="N57" i="12"/>
  <c r="N89" s="1"/>
  <c r="N113"/>
  <c r="N114"/>
  <c r="K60" i="22"/>
  <c r="K63" s="1"/>
  <c r="M57" i="12"/>
  <c r="M89" s="1"/>
  <c r="M60"/>
  <c r="M61" s="1"/>
  <c r="S18" i="6"/>
  <c r="R17"/>
  <c r="M113" i="12"/>
  <c r="M114"/>
  <c r="M45"/>
  <c r="K9" i="22" s="1"/>
  <c r="K4"/>
  <c r="M37" i="12"/>
  <c r="K6" i="22" s="1"/>
  <c r="M50" i="12"/>
  <c r="M51" s="1"/>
  <c r="E141"/>
  <c r="Z113" i="22"/>
  <c r="V115" i="12"/>
  <c r="V116"/>
  <c r="V46"/>
  <c r="V80" s="1"/>
  <c r="V85"/>
  <c r="I16" i="36"/>
  <c r="I23"/>
  <c r="J26" i="35"/>
  <c r="K18"/>
  <c r="J17" i="36"/>
  <c r="J17" i="35"/>
  <c r="J31"/>
  <c r="G12" i="36"/>
  <c r="G11" s="1"/>
  <c r="G22" i="4"/>
  <c r="I16" i="37"/>
  <c r="J16" s="1"/>
  <c r="G20"/>
  <c r="I20" s="1"/>
  <c r="H21" i="29"/>
  <c r="G27"/>
  <c r="G27" i="35"/>
  <c r="G20"/>
  <c r="H92" i="22"/>
  <c r="K88" i="12"/>
  <c r="H12" i="28"/>
  <c r="H13" s="1"/>
  <c r="H15"/>
  <c r="H16" s="1"/>
  <c r="H16" i="35" s="1"/>
  <c r="H15" s="1"/>
  <c r="G28" i="28"/>
  <c r="AF92" i="22"/>
  <c r="AC88" i="12"/>
  <c r="J29"/>
  <c r="I31"/>
  <c r="G27" i="6"/>
  <c r="G20"/>
  <c r="V31" i="12"/>
  <c r="AK58"/>
  <c r="AO91" i="22"/>
  <c r="AL54" i="12"/>
  <c r="AK52"/>
  <c r="AL52" s="1"/>
  <c r="AM52" s="1"/>
  <c r="AN52" s="1"/>
  <c r="AK46"/>
  <c r="AK85"/>
  <c r="AK86" s="1"/>
  <c r="AL86" s="1"/>
  <c r="AM86" s="1"/>
  <c r="AN86" s="1"/>
  <c r="AK115"/>
  <c r="AK116"/>
  <c r="J39" i="23"/>
  <c r="J38"/>
  <c r="J37"/>
  <c r="I11"/>
  <c r="E91" i="12"/>
  <c r="D91"/>
  <c r="Q35"/>
  <c r="N60" i="22"/>
  <c r="O89" i="12"/>
  <c r="X25"/>
  <c r="X31" s="1"/>
  <c r="W31"/>
  <c r="U47"/>
  <c r="U80"/>
  <c r="U86"/>
  <c r="AM31"/>
  <c r="AN29"/>
  <c r="Z29"/>
  <c r="AU92" i="22" l="1"/>
  <c r="AR88" i="12"/>
  <c r="W61"/>
  <c r="X61" s="1"/>
  <c r="I47"/>
  <c r="J47" s="1"/>
  <c r="K47" s="1"/>
  <c r="L47" s="1"/>
  <c r="G54"/>
  <c r="D91" i="22"/>
  <c r="F58" i="12"/>
  <c r="I86"/>
  <c r="J86" s="1"/>
  <c r="K86" s="1"/>
  <c r="L86" s="1"/>
  <c r="E134"/>
  <c r="F90"/>
  <c r="C114" i="22"/>
  <c r="P57" i="12"/>
  <c r="N61"/>
  <c r="O61" s="1"/>
  <c r="P45"/>
  <c r="N9" i="22" s="1"/>
  <c r="N4"/>
  <c r="P37" i="12"/>
  <c r="N6" i="22" s="1"/>
  <c r="P60" i="12"/>
  <c r="AD17" i="5"/>
  <c r="AE18"/>
  <c r="U19" i="4"/>
  <c r="V21"/>
  <c r="P51" i="12"/>
  <c r="W52"/>
  <c r="X52" s="1"/>
  <c r="Q46"/>
  <c r="Q50" s="1"/>
  <c r="N65" i="22"/>
  <c r="B66"/>
  <c r="O65"/>
  <c r="O66" s="1"/>
  <c r="I12" i="23"/>
  <c r="W54" i="12"/>
  <c r="X54" s="1"/>
  <c r="O116"/>
  <c r="J43" i="23"/>
  <c r="J44"/>
  <c r="J45"/>
  <c r="P116" i="12"/>
  <c r="O85"/>
  <c r="O46"/>
  <c r="V58"/>
  <c r="I27" i="5"/>
  <c r="I20"/>
  <c r="V47" i="12"/>
  <c r="W115"/>
  <c r="W116"/>
  <c r="F141"/>
  <c r="AA113" i="22"/>
  <c r="N85" i="12"/>
  <c r="N46"/>
  <c r="N80" s="1"/>
  <c r="W85"/>
  <c r="W46"/>
  <c r="W80" s="1"/>
  <c r="H19" i="28"/>
  <c r="N116" i="12"/>
  <c r="N115"/>
  <c r="N133"/>
  <c r="L113" i="22"/>
  <c r="T17" i="28"/>
  <c r="U18"/>
  <c r="M85" i="12"/>
  <c r="M86" s="1"/>
  <c r="N86" s="1"/>
  <c r="M52"/>
  <c r="N52" s="1"/>
  <c r="O52" s="1"/>
  <c r="M46"/>
  <c r="M115"/>
  <c r="M116"/>
  <c r="T18" i="6"/>
  <c r="S17"/>
  <c r="M133" i="12"/>
  <c r="K113" i="22"/>
  <c r="V86" i="12"/>
  <c r="W86" s="1"/>
  <c r="X86" s="1"/>
  <c r="J31"/>
  <c r="K29"/>
  <c r="L88"/>
  <c r="I92" i="22"/>
  <c r="G18" i="36"/>
  <c r="G23" i="4"/>
  <c r="G30"/>
  <c r="J16" i="36"/>
  <c r="J23"/>
  <c r="H12" i="6"/>
  <c r="H13" s="1"/>
  <c r="G28"/>
  <c r="AD88" i="12"/>
  <c r="AG92" i="22"/>
  <c r="H20" i="28"/>
  <c r="H27"/>
  <c r="H12" i="35"/>
  <c r="G28"/>
  <c r="H27" i="29"/>
  <c r="I21"/>
  <c r="G23" i="23"/>
  <c r="J20" i="37"/>
  <c r="L18" i="35"/>
  <c r="K26"/>
  <c r="K17"/>
  <c r="K31"/>
  <c r="K17" i="36"/>
  <c r="AK47" i="12"/>
  <c r="AL47" s="1"/>
  <c r="AM47" s="1"/>
  <c r="AN47" s="1"/>
  <c r="AK80"/>
  <c r="AK81" s="1"/>
  <c r="AL81" s="1"/>
  <c r="AM81" s="1"/>
  <c r="AN81" s="1"/>
  <c r="AL58"/>
  <c r="AM54"/>
  <c r="AP91" i="22"/>
  <c r="P85" i="12"/>
  <c r="M113" i="22"/>
  <c r="O133" i="12"/>
  <c r="P89"/>
  <c r="C139" i="22"/>
  <c r="E92" i="12"/>
  <c r="E135"/>
  <c r="J40" i="23"/>
  <c r="D135" i="12"/>
  <c r="B139" i="22"/>
  <c r="U81" i="12"/>
  <c r="V81" s="1"/>
  <c r="AN31"/>
  <c r="AO29"/>
  <c r="AA29"/>
  <c r="AV92" i="22" l="1"/>
  <c r="AS88" i="12"/>
  <c r="W81"/>
  <c r="X81" s="1"/>
  <c r="AA91" i="22"/>
  <c r="E91"/>
  <c r="G58" i="12"/>
  <c r="H54"/>
  <c r="F134"/>
  <c r="G90"/>
  <c r="D114" i="22"/>
  <c r="F91" i="12"/>
  <c r="AE17" i="5"/>
  <c r="AF18"/>
  <c r="W21" i="4"/>
  <c r="V19"/>
  <c r="O86" i="12"/>
  <c r="C67" i="22"/>
  <c r="N66"/>
  <c r="P46" i="12"/>
  <c r="J12" i="23"/>
  <c r="W58" i="12"/>
  <c r="O80"/>
  <c r="J46" i="23"/>
  <c r="I28" i="5"/>
  <c r="J12"/>
  <c r="J13" s="1"/>
  <c r="J19" s="1"/>
  <c r="W47" i="12"/>
  <c r="X47" s="1"/>
  <c r="V18" i="28"/>
  <c r="U17"/>
  <c r="M80" i="12"/>
  <c r="M81" s="1"/>
  <c r="N81" s="1"/>
  <c r="M47"/>
  <c r="N47" s="1"/>
  <c r="O47" s="1"/>
  <c r="U18" i="6"/>
  <c r="T17"/>
  <c r="K16" i="36"/>
  <c r="K23"/>
  <c r="M18" i="35"/>
  <c r="L26"/>
  <c r="L31"/>
  <c r="L17"/>
  <c r="L17" i="36"/>
  <c r="L16" s="1"/>
  <c r="I23" i="23"/>
  <c r="G24"/>
  <c r="I27" i="29"/>
  <c r="J21"/>
  <c r="K31" i="12"/>
  <c r="L29"/>
  <c r="I12" i="28"/>
  <c r="I13" s="1"/>
  <c r="I19" s="1"/>
  <c r="H28"/>
  <c r="AE88" i="12"/>
  <c r="AH92" i="22"/>
  <c r="H13" i="35"/>
  <c r="H19" s="1"/>
  <c r="H19" i="6"/>
  <c r="H14" i="4"/>
  <c r="H15" s="1"/>
  <c r="G31"/>
  <c r="G19" i="36"/>
  <c r="H11" s="1"/>
  <c r="L35" i="16" s="1"/>
  <c r="L36" s="1"/>
  <c r="G24" i="36"/>
  <c r="M88" i="12"/>
  <c r="J92" i="22"/>
  <c r="AQ91"/>
  <c r="AN54" i="12"/>
  <c r="AM58"/>
  <c r="AB91" i="22"/>
  <c r="X58" i="12"/>
  <c r="AB29"/>
  <c r="AP29"/>
  <c r="AW92" i="22" l="1"/>
  <c r="AT88" i="12"/>
  <c r="M31" i="35"/>
  <c r="M26"/>
  <c r="F92" i="12"/>
  <c r="F135"/>
  <c r="D139" i="22"/>
  <c r="H90" i="12"/>
  <c r="G91"/>
  <c r="E114" i="22"/>
  <c r="G134" i="12"/>
  <c r="F91" i="22"/>
  <c r="I54" i="12"/>
  <c r="H58"/>
  <c r="AG18" i="5"/>
  <c r="AF17"/>
  <c r="W19" i="4"/>
  <c r="X21"/>
  <c r="D67" i="22"/>
  <c r="E67" s="1"/>
  <c r="F67" s="1"/>
  <c r="G67" s="1"/>
  <c r="H67" s="1"/>
  <c r="I67" s="1"/>
  <c r="J67" s="1"/>
  <c r="K67" s="1"/>
  <c r="L67" s="1"/>
  <c r="M67" s="1"/>
  <c r="P80" i="12"/>
  <c r="O81"/>
  <c r="J27" i="5"/>
  <c r="J20"/>
  <c r="W18" i="28"/>
  <c r="V17"/>
  <c r="V18" i="6"/>
  <c r="U17"/>
  <c r="K92" i="22"/>
  <c r="N88" i="12"/>
  <c r="H12" i="36"/>
  <c r="H22" i="4"/>
  <c r="H20" i="35"/>
  <c r="H27"/>
  <c r="AI92" i="22"/>
  <c r="AF88" i="12"/>
  <c r="AJ92" i="22" s="1"/>
  <c r="I27" i="28"/>
  <c r="I20"/>
  <c r="K21" i="29"/>
  <c r="J27"/>
  <c r="I24" i="23"/>
  <c r="G25"/>
  <c r="N18" i="35"/>
  <c r="M17"/>
  <c r="M17" i="36"/>
  <c r="M16" s="1"/>
  <c r="H20" i="6"/>
  <c r="H27"/>
  <c r="M29" i="12"/>
  <c r="L31"/>
  <c r="AN58"/>
  <c r="AR91" i="22"/>
  <c r="AQ29" i="12"/>
  <c r="AC29"/>
  <c r="AU88" l="1"/>
  <c r="AX92" i="22"/>
  <c r="N26" i="35"/>
  <c r="N31"/>
  <c r="G91" i="22"/>
  <c r="I58" i="12"/>
  <c r="J54"/>
  <c r="G135"/>
  <c r="G92"/>
  <c r="E139" i="22"/>
  <c r="H91" i="12"/>
  <c r="F114" i="22"/>
  <c r="H134" i="12"/>
  <c r="I90"/>
  <c r="AG17" i="5"/>
  <c r="AH18"/>
  <c r="Y21" i="4"/>
  <c r="X19"/>
  <c r="N67" i="22"/>
  <c r="I25" i="23"/>
  <c r="K12" i="5"/>
  <c r="K13" s="1"/>
  <c r="K19" s="1"/>
  <c r="J28"/>
  <c r="X18" i="28"/>
  <c r="W17"/>
  <c r="W18" i="6"/>
  <c r="V17"/>
  <c r="N29" i="12"/>
  <c r="M31"/>
  <c r="I12" i="6"/>
  <c r="I13" s="1"/>
  <c r="H28"/>
  <c r="N17" i="35"/>
  <c r="N17" i="36"/>
  <c r="N16" s="1"/>
  <c r="O18" i="35"/>
  <c r="L21" i="29"/>
  <c r="K27"/>
  <c r="I12" i="35"/>
  <c r="H28"/>
  <c r="J12" i="28"/>
  <c r="J13" s="1"/>
  <c r="J19" s="1"/>
  <c r="I28"/>
  <c r="H18" i="36"/>
  <c r="H23" i="4"/>
  <c r="H30"/>
  <c r="O88" i="12"/>
  <c r="M92" i="22" s="1"/>
  <c r="L92"/>
  <c r="AR29" i="12"/>
  <c r="AD29"/>
  <c r="AV88" l="1"/>
  <c r="AZ92" i="22" s="1"/>
  <c r="AY92"/>
  <c r="H92" i="12"/>
  <c r="H135"/>
  <c r="F139" i="22"/>
  <c r="J58" i="12"/>
  <c r="K54"/>
  <c r="H91" i="22"/>
  <c r="I91" i="12"/>
  <c r="I134"/>
  <c r="G114" i="22"/>
  <c r="J90" i="12"/>
  <c r="AH17" i="5"/>
  <c r="AI18"/>
  <c r="Z21" i="4"/>
  <c r="Y19"/>
  <c r="J25" i="23"/>
  <c r="K20" i="5"/>
  <c r="K27"/>
  <c r="Y18" i="28"/>
  <c r="X17"/>
  <c r="X18" i="6"/>
  <c r="W17"/>
  <c r="L27" i="29"/>
  <c r="M21"/>
  <c r="M27" s="1"/>
  <c r="I14" i="4"/>
  <c r="I15" s="1"/>
  <c r="H31"/>
  <c r="H19" i="36"/>
  <c r="I11" s="1"/>
  <c r="M35" i="16" s="1"/>
  <c r="M36" s="1"/>
  <c r="H24" i="36"/>
  <c r="J20" i="28"/>
  <c r="J27"/>
  <c r="P18" i="35"/>
  <c r="O17" i="36"/>
  <c r="O16" s="1"/>
  <c r="O17" i="35"/>
  <c r="I13"/>
  <c r="I19" s="1"/>
  <c r="I19" i="6"/>
  <c r="N31" i="12"/>
  <c r="O29"/>
  <c r="O31" s="1"/>
  <c r="AE29"/>
  <c r="AS29"/>
  <c r="I92" l="1"/>
  <c r="G139" i="22"/>
  <c r="I135" i="12"/>
  <c r="I91" i="22"/>
  <c r="L54" i="12"/>
  <c r="K58"/>
  <c r="J91"/>
  <c r="J134"/>
  <c r="K90"/>
  <c r="H114" i="22"/>
  <c r="AJ18" i="5"/>
  <c r="AI17"/>
  <c r="Z19" i="4"/>
  <c r="AA21"/>
  <c r="K28" i="5"/>
  <c r="L12"/>
  <c r="L13" s="1"/>
  <c r="L19" s="1"/>
  <c r="Z18" i="28"/>
  <c r="Y17"/>
  <c r="X17" i="6"/>
  <c r="Y18"/>
  <c r="I20" i="35"/>
  <c r="I27"/>
  <c r="I27" i="6"/>
  <c r="I20"/>
  <c r="P17" i="35"/>
  <c r="Q18"/>
  <c r="P17" i="36"/>
  <c r="P16" s="1"/>
  <c r="K12" i="28"/>
  <c r="K13" s="1"/>
  <c r="K19" s="1"/>
  <c r="J28"/>
  <c r="I12" i="36"/>
  <c r="I22" i="4"/>
  <c r="AT29" i="12"/>
  <c r="AF29"/>
  <c r="I114" i="22" l="1"/>
  <c r="K91" i="12"/>
  <c r="L90"/>
  <c r="K134"/>
  <c r="H139" i="22"/>
  <c r="J135" i="12"/>
  <c r="J92"/>
  <c r="J91" i="22"/>
  <c r="M54" i="12"/>
  <c r="L58"/>
  <c r="AK18" i="5"/>
  <c r="AJ17"/>
  <c r="AB21" i="4"/>
  <c r="AA19"/>
  <c r="M19" i="5"/>
  <c r="M27" s="1"/>
  <c r="L20"/>
  <c r="L28" s="1"/>
  <c r="L27"/>
  <c r="AA18" i="28"/>
  <c r="Z17"/>
  <c r="Y17" i="6"/>
  <c r="Z18"/>
  <c r="K27" i="28"/>
  <c r="K20"/>
  <c r="I28" i="35"/>
  <c r="J12"/>
  <c r="I30" i="4"/>
  <c r="I18" i="36"/>
  <c r="I23" i="4"/>
  <c r="R18" i="35"/>
  <c r="Q17" i="36"/>
  <c r="Q16" s="1"/>
  <c r="Q17" i="35"/>
  <c r="J12" i="6"/>
  <c r="J13" s="1"/>
  <c r="I28"/>
  <c r="AU29" i="12"/>
  <c r="K91" i="22" l="1"/>
  <c r="M58" i="12"/>
  <c r="N54"/>
  <c r="J114" i="22"/>
  <c r="L134" i="12"/>
  <c r="M90"/>
  <c r="L91"/>
  <c r="I139" i="22"/>
  <c r="K135" i="12"/>
  <c r="K92"/>
  <c r="AK17" i="5"/>
  <c r="AL18"/>
  <c r="AL17" s="1"/>
  <c r="AB19" i="4"/>
  <c r="AC21"/>
  <c r="N19" i="5"/>
  <c r="N27" s="1"/>
  <c r="M20"/>
  <c r="M28" s="1"/>
  <c r="AB18" i="28"/>
  <c r="AA17"/>
  <c r="Z17" i="6"/>
  <c r="AA18"/>
  <c r="J13" i="35"/>
  <c r="J19" s="1"/>
  <c r="J19" i="6"/>
  <c r="I19" i="36"/>
  <c r="J11" s="1"/>
  <c r="N35" i="16" s="1"/>
  <c r="N36" s="1"/>
  <c r="I24" i="36"/>
  <c r="K28" i="28"/>
  <c r="L12"/>
  <c r="L13" s="1"/>
  <c r="L19" s="1"/>
  <c r="L27" s="1"/>
  <c r="R17" i="35"/>
  <c r="S18"/>
  <c r="R17" i="36"/>
  <c r="R16" s="1"/>
  <c r="J14" i="4"/>
  <c r="J15" s="1"/>
  <c r="I31"/>
  <c r="AV29" i="12"/>
  <c r="J139" i="22" l="1"/>
  <c r="L135" i="12"/>
  <c r="L92"/>
  <c r="O54"/>
  <c r="N58"/>
  <c r="L91" i="22"/>
  <c r="M134" i="12"/>
  <c r="N90"/>
  <c r="K114" i="22"/>
  <c r="M91" i="12"/>
  <c r="AC19" i="4"/>
  <c r="AD21"/>
  <c r="O19" i="5"/>
  <c r="N20"/>
  <c r="N28" s="1"/>
  <c r="AB17" i="28"/>
  <c r="AC18"/>
  <c r="AA17" i="6"/>
  <c r="AB18"/>
  <c r="J20"/>
  <c r="J27"/>
  <c r="J12" i="36"/>
  <c r="J22" i="4"/>
  <c r="T18" i="35"/>
  <c r="S17" i="36"/>
  <c r="S16" s="1"/>
  <c r="S17" i="35"/>
  <c r="L20" i="28"/>
  <c r="L28" s="1"/>
  <c r="M19"/>
  <c r="M27" s="1"/>
  <c r="J27" i="35"/>
  <c r="J20"/>
  <c r="M92" i="12" l="1"/>
  <c r="K139" i="22"/>
  <c r="M135" i="12"/>
  <c r="O90"/>
  <c r="N91"/>
  <c r="L114" i="22"/>
  <c r="N134" i="12"/>
  <c r="O58"/>
  <c r="M91" i="22"/>
  <c r="AD19" i="4"/>
  <c r="AE21"/>
  <c r="P19" i="5"/>
  <c r="O20"/>
  <c r="AC17" i="28"/>
  <c r="AD18"/>
  <c r="AC18" i="6"/>
  <c r="AB17"/>
  <c r="J28" i="35"/>
  <c r="K12"/>
  <c r="M20" i="28"/>
  <c r="M28" s="1"/>
  <c r="N19"/>
  <c r="N27" s="1"/>
  <c r="T17" i="35"/>
  <c r="U18"/>
  <c r="T17" i="36"/>
  <c r="T16" s="1"/>
  <c r="J30" i="4"/>
  <c r="J23"/>
  <c r="J18" i="36"/>
  <c r="K12" i="6"/>
  <c r="K13" s="1"/>
  <c r="J28"/>
  <c r="L139" i="22" l="1"/>
  <c r="N92" i="12"/>
  <c r="N135"/>
  <c r="O134"/>
  <c r="U90"/>
  <c r="G28" i="23"/>
  <c r="G29" s="1"/>
  <c r="M114" i="22"/>
  <c r="O91" i="12"/>
  <c r="AF21" i="4"/>
  <c r="AE19"/>
  <c r="Q19" i="5"/>
  <c r="P20"/>
  <c r="AD17" i="28"/>
  <c r="AE18"/>
  <c r="AC17" i="6"/>
  <c r="AD18"/>
  <c r="K13" i="35"/>
  <c r="K19" s="1"/>
  <c r="K19" i="6"/>
  <c r="V18" i="35"/>
  <c r="U17" i="36"/>
  <c r="U16" s="1"/>
  <c r="U17" i="35"/>
  <c r="N20" i="28"/>
  <c r="N28" s="1"/>
  <c r="O19"/>
  <c r="J19" i="36"/>
  <c r="K11" s="1"/>
  <c r="O35" i="16" s="1"/>
  <c r="O36" s="1"/>
  <c r="S36" s="1"/>
  <c r="J24" i="36"/>
  <c r="J31" i="4"/>
  <c r="K14"/>
  <c r="K15" s="1"/>
  <c r="D142" i="12" l="1"/>
  <c r="Y114" i="22"/>
  <c r="V90" i="12"/>
  <c r="O135"/>
  <c r="M139" i="22"/>
  <c r="O92" i="12"/>
  <c r="AG21" i="4"/>
  <c r="AF19"/>
  <c r="R19" i="5"/>
  <c r="Q20"/>
  <c r="AE17" i="28"/>
  <c r="AF18"/>
  <c r="AD17" i="6"/>
  <c r="AE18"/>
  <c r="K12" i="36"/>
  <c r="K22" i="4"/>
  <c r="O20" i="28"/>
  <c r="P19"/>
  <c r="V17" i="35"/>
  <c r="V17" i="36"/>
  <c r="V16" s="1"/>
  <c r="W18" i="35"/>
  <c r="K20"/>
  <c r="K28" s="1"/>
  <c r="L19"/>
  <c r="K27"/>
  <c r="K20" i="6"/>
  <c r="K27"/>
  <c r="W90" i="12" l="1"/>
  <c r="E142"/>
  <c r="Z114" i="22"/>
  <c r="AG19" i="4"/>
  <c r="AH21"/>
  <c r="S19" i="5"/>
  <c r="S20" s="1"/>
  <c r="T12" s="1"/>
  <c r="T13" s="1"/>
  <c r="T19" s="1"/>
  <c r="T20" s="1"/>
  <c r="U12" s="1"/>
  <c r="U13" s="1"/>
  <c r="U19" s="1"/>
  <c r="U20" s="1"/>
  <c r="V12" s="1"/>
  <c r="V13" s="1"/>
  <c r="V19" s="1"/>
  <c r="V20" s="1"/>
  <c r="W12" s="1"/>
  <c r="W13" s="1"/>
  <c r="W19" s="1"/>
  <c r="R20"/>
  <c r="AF17" i="28"/>
  <c r="AG18"/>
  <c r="AF18" i="6"/>
  <c r="AE17"/>
  <c r="K28"/>
  <c r="L12"/>
  <c r="L13" s="1"/>
  <c r="L19" s="1"/>
  <c r="L20" i="35"/>
  <c r="L28" s="1"/>
  <c r="L27"/>
  <c r="M19"/>
  <c r="M27" s="1"/>
  <c r="X18"/>
  <c r="W17" i="36"/>
  <c r="W16" s="1"/>
  <c r="W17" i="35"/>
  <c r="P20" i="28"/>
  <c r="Q19"/>
  <c r="K23" i="4"/>
  <c r="K30"/>
  <c r="K18" i="36"/>
  <c r="AA114" i="22" l="1"/>
  <c r="F142" i="12"/>
  <c r="X90"/>
  <c r="AH19" i="4"/>
  <c r="AI21"/>
  <c r="X19" i="5"/>
  <c r="W20"/>
  <c r="AG17" i="28"/>
  <c r="AH18"/>
  <c r="AG18" i="6"/>
  <c r="AF17"/>
  <c r="K19" i="36"/>
  <c r="K24"/>
  <c r="L14" i="4"/>
  <c r="L15" s="1"/>
  <c r="K31"/>
  <c r="M20" i="35"/>
  <c r="M28" s="1"/>
  <c r="N19"/>
  <c r="N27" s="1"/>
  <c r="Q20" i="28"/>
  <c r="R19"/>
  <c r="R20" s="1"/>
  <c r="S12" s="1"/>
  <c r="S13" s="1"/>
  <c r="S19" s="1"/>
  <c r="S20" s="1"/>
  <c r="T12" s="1"/>
  <c r="T13" s="1"/>
  <c r="T19" s="1"/>
  <c r="T20" s="1"/>
  <c r="U12" s="1"/>
  <c r="U13" s="1"/>
  <c r="U19" s="1"/>
  <c r="U20" s="1"/>
  <c r="V12" s="1"/>
  <c r="V13" s="1"/>
  <c r="V19" s="1"/>
  <c r="V20" s="1"/>
  <c r="W12" s="1"/>
  <c r="W13" s="1"/>
  <c r="W19" s="1"/>
  <c r="X17" i="35"/>
  <c r="X17" i="36"/>
  <c r="X16" s="1"/>
  <c r="Y18" i="35"/>
  <c r="L20" i="6"/>
  <c r="L28" s="1"/>
  <c r="L27"/>
  <c r="M19"/>
  <c r="M27" s="1"/>
  <c r="AB114" i="22" l="1"/>
  <c r="G142" i="12"/>
  <c r="AI19" i="4"/>
  <c r="AJ21"/>
  <c r="Y19" i="5"/>
  <c r="X20"/>
  <c r="AI18" i="28"/>
  <c r="AH17"/>
  <c r="AH18" i="6"/>
  <c r="AG17"/>
  <c r="M20"/>
  <c r="M28" s="1"/>
  <c r="N19"/>
  <c r="N27" s="1"/>
  <c r="X19" i="28"/>
  <c r="W20"/>
  <c r="N20" i="35"/>
  <c r="N28" s="1"/>
  <c r="O19"/>
  <c r="Z18"/>
  <c r="Y17" i="36"/>
  <c r="Y16" s="1"/>
  <c r="Y17" i="35"/>
  <c r="L12" i="36"/>
  <c r="L22" i="4"/>
  <c r="AK21" l="1"/>
  <c r="AJ19"/>
  <c r="Z19" i="5"/>
  <c r="Y20"/>
  <c r="AJ18" i="28"/>
  <c r="AI17"/>
  <c r="AH17" i="6"/>
  <c r="AI18"/>
  <c r="O20" i="35"/>
  <c r="P19"/>
  <c r="N20" i="6"/>
  <c r="N28" s="1"/>
  <c r="O19"/>
  <c r="L23" i="4"/>
  <c r="L31" s="1"/>
  <c r="L30"/>
  <c r="M22"/>
  <c r="M30" s="1"/>
  <c r="L18" i="36"/>
  <c r="L19" s="1"/>
  <c r="Z17" i="35"/>
  <c r="AA18"/>
  <c r="Z17" i="36"/>
  <c r="Z16" s="1"/>
  <c r="Y19" i="28"/>
  <c r="X20"/>
  <c r="AL21" i="4" l="1"/>
  <c r="AL19" s="1"/>
  <c r="AK19"/>
  <c r="AA19" i="5"/>
  <c r="Z20"/>
  <c r="AK18" i="28"/>
  <c r="AJ17"/>
  <c r="AJ18" i="6"/>
  <c r="AI17"/>
  <c r="Z19" i="28"/>
  <c r="Y20"/>
  <c r="AB18" i="35"/>
  <c r="AA17"/>
  <c r="AA17" i="36"/>
  <c r="AA16" s="1"/>
  <c r="O20" i="6"/>
  <c r="P19"/>
  <c r="Q19" i="35"/>
  <c r="P20"/>
  <c r="M23" i="4"/>
  <c r="M31" s="1"/>
  <c r="N22"/>
  <c r="N30" s="1"/>
  <c r="M18" i="36"/>
  <c r="M19" s="1"/>
  <c r="AB19" i="5" l="1"/>
  <c r="AA20"/>
  <c r="AL18" i="28"/>
  <c r="AL17" s="1"/>
  <c r="AK17"/>
  <c r="AK18" i="6"/>
  <c r="AJ17"/>
  <c r="R19" i="35"/>
  <c r="Q20"/>
  <c r="O22" i="4"/>
  <c r="N23"/>
  <c r="N31" s="1"/>
  <c r="N18" i="36"/>
  <c r="N19" s="1"/>
  <c r="P20" i="6"/>
  <c r="Q19"/>
  <c r="AB17" i="35"/>
  <c r="AC18"/>
  <c r="AB17" i="36"/>
  <c r="AB16" s="1"/>
  <c r="AA19" i="28"/>
  <c r="Z20"/>
  <c r="AC19" i="5" l="1"/>
  <c r="AB20"/>
  <c r="AK17" i="6"/>
  <c r="AL18"/>
  <c r="AL17" s="1"/>
  <c r="AA20" i="28"/>
  <c r="AB19"/>
  <c r="AD18" i="35"/>
  <c r="AC17" i="36"/>
  <c r="AC16" s="1"/>
  <c r="AC17" i="35"/>
  <c r="R19" i="6"/>
  <c r="R20" s="1"/>
  <c r="S12" s="1"/>
  <c r="S13" s="1"/>
  <c r="S19" s="1"/>
  <c r="S20" s="1"/>
  <c r="T12" s="1"/>
  <c r="T13" s="1"/>
  <c r="Q20"/>
  <c r="P22" i="4"/>
  <c r="O23"/>
  <c r="O18" i="36"/>
  <c r="O19" s="1"/>
  <c r="R20" i="35"/>
  <c r="S12" s="1"/>
  <c r="S13" s="1"/>
  <c r="S12" i="36" s="1"/>
  <c r="Y19" i="12" s="1"/>
  <c r="AD19" i="5" l="1"/>
  <c r="AC20"/>
  <c r="S19" i="35"/>
  <c r="S20" s="1"/>
  <c r="T12" s="1"/>
  <c r="P23" i="4"/>
  <c r="Q22"/>
  <c r="P18" i="36"/>
  <c r="P19" s="1"/>
  <c r="T19" i="6"/>
  <c r="T20" s="1"/>
  <c r="U12" s="1"/>
  <c r="U13" s="1"/>
  <c r="T13" i="35"/>
  <c r="AB20" i="28"/>
  <c r="AC19"/>
  <c r="Y102" i="12"/>
  <c r="Y107" s="1"/>
  <c r="Y33"/>
  <c r="Y23"/>
  <c r="AE18" i="35"/>
  <c r="AD17"/>
  <c r="AD17" i="36"/>
  <c r="AD16" s="1"/>
  <c r="AE19" i="5" l="1"/>
  <c r="AE20" s="1"/>
  <c r="AF12" s="1"/>
  <c r="AF13" s="1"/>
  <c r="AF19" s="1"/>
  <c r="AF20" s="1"/>
  <c r="AG12" s="1"/>
  <c r="AG13" s="1"/>
  <c r="AG19" s="1"/>
  <c r="AG20" s="1"/>
  <c r="AH12" s="1"/>
  <c r="AH13" s="1"/>
  <c r="AH19" s="1"/>
  <c r="AD20"/>
  <c r="Y26" i="12"/>
  <c r="Y30"/>
  <c r="Y25"/>
  <c r="AC20" i="28"/>
  <c r="AD19"/>
  <c r="AD20" s="1"/>
  <c r="AE12" s="1"/>
  <c r="AE13" s="1"/>
  <c r="AE19" s="1"/>
  <c r="AE20" s="1"/>
  <c r="AF12" s="1"/>
  <c r="AF13" s="1"/>
  <c r="AF19" s="1"/>
  <c r="AF20" s="1"/>
  <c r="AG12" s="1"/>
  <c r="AG13" s="1"/>
  <c r="AG19" s="1"/>
  <c r="AG20" s="1"/>
  <c r="AH12" s="1"/>
  <c r="AH13" s="1"/>
  <c r="AH19" s="1"/>
  <c r="AH20" s="1"/>
  <c r="AI12" s="1"/>
  <c r="AI13" s="1"/>
  <c r="AI19" s="1"/>
  <c r="AF18" i="35"/>
  <c r="AE17"/>
  <c r="AE17" i="36"/>
  <c r="AE16" s="1"/>
  <c r="Y34" i="12"/>
  <c r="Y53"/>
  <c r="Y112"/>
  <c r="U19" i="6"/>
  <c r="U20" s="1"/>
  <c r="V12" s="1"/>
  <c r="V13" s="1"/>
  <c r="U13" i="35"/>
  <c r="Q23" i="4"/>
  <c r="R22"/>
  <c r="Q18" i="36"/>
  <c r="Q19" s="1"/>
  <c r="T19" i="35"/>
  <c r="AH20" i="5" l="1"/>
  <c r="AI12" s="1"/>
  <c r="AI13" s="1"/>
  <c r="AI19" s="1"/>
  <c r="AJ19" s="1"/>
  <c r="AK19" s="1"/>
  <c r="AL19" s="1"/>
  <c r="T20" i="35"/>
  <c r="U12" s="1"/>
  <c r="U19"/>
  <c r="V19" i="6"/>
  <c r="V20" s="1"/>
  <c r="W12" s="1"/>
  <c r="W13" s="1"/>
  <c r="V13" i="35"/>
  <c r="Y54" i="12"/>
  <c r="AC60" i="22"/>
  <c r="Y57" i="12"/>
  <c r="Y89" s="1"/>
  <c r="Y60"/>
  <c r="Y61" s="1"/>
  <c r="AF17" i="35"/>
  <c r="AG18"/>
  <c r="AF17" i="36"/>
  <c r="AF16" s="1"/>
  <c r="Y31" i="12"/>
  <c r="S22" i="4"/>
  <c r="R23"/>
  <c r="R18" i="36"/>
  <c r="R19" s="1"/>
  <c r="Y114" i="12"/>
  <c r="Y113"/>
  <c r="Y45"/>
  <c r="AC9" i="22" s="1"/>
  <c r="AC4"/>
  <c r="Y50" i="12"/>
  <c r="Y51" s="1"/>
  <c r="Y37"/>
  <c r="AC6" i="22" s="1"/>
  <c r="AI20" i="28"/>
  <c r="AJ19"/>
  <c r="AI20" i="5" l="1"/>
  <c r="Y52" i="12"/>
  <c r="Y85"/>
  <c r="Y86" s="1"/>
  <c r="Y46"/>
  <c r="Y116"/>
  <c r="Y115"/>
  <c r="H141"/>
  <c r="AC113" i="22"/>
  <c r="Y90" i="12"/>
  <c r="AC91" i="22"/>
  <c r="Y58" i="12"/>
  <c r="W19" i="6"/>
  <c r="W13" i="35"/>
  <c r="AJ20" i="28"/>
  <c r="AK19"/>
  <c r="S11" i="36"/>
  <c r="G42" i="37"/>
  <c r="S23" i="4"/>
  <c r="T14" s="1"/>
  <c r="T15" s="1"/>
  <c r="T12" i="36" s="1"/>
  <c r="Z19" i="12" s="1"/>
  <c r="S18" i="36"/>
  <c r="S19" s="1"/>
  <c r="T11" s="1"/>
  <c r="AH18" i="35"/>
  <c r="AG17"/>
  <c r="AG17" i="36"/>
  <c r="AG16" s="1"/>
  <c r="U20" i="35"/>
  <c r="V12" s="1"/>
  <c r="V19"/>
  <c r="AJ20" i="5" l="1"/>
  <c r="Z33" i="12"/>
  <c r="Z23"/>
  <c r="Z102"/>
  <c r="Z107" s="1"/>
  <c r="W20" i="6"/>
  <c r="X19"/>
  <c r="Y80" i="12"/>
  <c r="Y47"/>
  <c r="V20" i="35"/>
  <c r="W12" s="1"/>
  <c r="W19"/>
  <c r="AH17"/>
  <c r="AI18"/>
  <c r="AH17" i="36"/>
  <c r="AH16" s="1"/>
  <c r="I42" i="37"/>
  <c r="J42" s="1"/>
  <c r="G46"/>
  <c r="I46" s="1"/>
  <c r="AL19" i="28"/>
  <c r="AL20" s="1"/>
  <c r="AK20"/>
  <c r="AC114" i="22"/>
  <c r="H142" i="12"/>
  <c r="T22" i="4"/>
  <c r="AK20" i="5" l="1"/>
  <c r="AL20"/>
  <c r="T23" i="4"/>
  <c r="U14" s="1"/>
  <c r="U15" s="1"/>
  <c r="T18" i="36"/>
  <c r="T19" s="1"/>
  <c r="U11" s="1"/>
  <c r="Y19" i="6"/>
  <c r="X20"/>
  <c r="K23" i="23"/>
  <c r="J46" i="37"/>
  <c r="AI17" i="35"/>
  <c r="AJ18"/>
  <c r="AI17" i="36"/>
  <c r="AI16" s="1"/>
  <c r="X19" i="35"/>
  <c r="W20"/>
  <c r="Y81" i="12"/>
  <c r="Z30"/>
  <c r="Z26"/>
  <c r="Z25"/>
  <c r="Z34"/>
  <c r="Z112"/>
  <c r="Z53"/>
  <c r="Z114" l="1"/>
  <c r="Z113"/>
  <c r="Z31"/>
  <c r="M23" i="23"/>
  <c r="K24"/>
  <c r="M24" s="1"/>
  <c r="Y20" i="6"/>
  <c r="Z19"/>
  <c r="U22" i="4"/>
  <c r="U12" i="36"/>
  <c r="AA19" i="12" s="1"/>
  <c r="Z60"/>
  <c r="Z61" s="1"/>
  <c r="Z57"/>
  <c r="Z89" s="1"/>
  <c r="AD60" i="22"/>
  <c r="Z54" i="12"/>
  <c r="Z45"/>
  <c r="AD9" i="22" s="1"/>
  <c r="Z37" i="12"/>
  <c r="AD6" i="22" s="1"/>
  <c r="AD4"/>
  <c r="Z50" i="12"/>
  <c r="Z51" s="1"/>
  <c r="Y19" i="35"/>
  <c r="X20"/>
  <c r="AK18"/>
  <c r="AJ17" i="36"/>
  <c r="AJ16" s="1"/>
  <c r="AJ17" i="35"/>
  <c r="Z85" i="12" l="1"/>
  <c r="Z86" s="1"/>
  <c r="Z52"/>
  <c r="Z46"/>
  <c r="AL18" i="35"/>
  <c r="AK17" i="36"/>
  <c r="AK16" s="1"/>
  <c r="AK17" i="35"/>
  <c r="Y20"/>
  <c r="Z19"/>
  <c r="U23" i="4"/>
  <c r="V14" s="1"/>
  <c r="V15" s="1"/>
  <c r="V12" i="36" s="1"/>
  <c r="AB19" i="12" s="1"/>
  <c r="U18" i="36"/>
  <c r="U19" s="1"/>
  <c r="V11" s="1"/>
  <c r="Z115" i="12"/>
  <c r="Z116"/>
  <c r="Z58"/>
  <c r="AD91" i="22"/>
  <c r="AD113"/>
  <c r="I141" i="12"/>
  <c r="Z90"/>
  <c r="AA23"/>
  <c r="AA102"/>
  <c r="AA107" s="1"/>
  <c r="AA33"/>
  <c r="AA19" i="6"/>
  <c r="Z20"/>
  <c r="AA34" i="12" l="1"/>
  <c r="AA112"/>
  <c r="AA53"/>
  <c r="I142"/>
  <c r="AD114" i="22"/>
  <c r="AA20" i="6"/>
  <c r="AB19"/>
  <c r="AA19" i="35"/>
  <c r="Z20"/>
  <c r="AL17"/>
  <c r="AL17" i="36"/>
  <c r="AL16" s="1"/>
  <c r="V22" i="4"/>
  <c r="AA26" i="12"/>
  <c r="AA30"/>
  <c r="AA25"/>
  <c r="AB23"/>
  <c r="AB33"/>
  <c r="AB102"/>
  <c r="AB107" s="1"/>
  <c r="Z80"/>
  <c r="Z47"/>
  <c r="Z81" l="1"/>
  <c r="AC19" i="6"/>
  <c r="AB20"/>
  <c r="AA57" i="12"/>
  <c r="AA89" s="1"/>
  <c r="AE60" i="22"/>
  <c r="AA60" i="12"/>
  <c r="AA61" s="1"/>
  <c r="AA54"/>
  <c r="AA37"/>
  <c r="AE6" i="22" s="1"/>
  <c r="AA50" i="12"/>
  <c r="AA51" s="1"/>
  <c r="AE4" i="22"/>
  <c r="AA45" i="12"/>
  <c r="AE9" i="22" s="1"/>
  <c r="AB34" i="12"/>
  <c r="AB53"/>
  <c r="AB112"/>
  <c r="AB26"/>
  <c r="AB30"/>
  <c r="AA31"/>
  <c r="AB25"/>
  <c r="V23" i="4"/>
  <c r="W14" s="1"/>
  <c r="W15" s="1"/>
  <c r="W12" i="36" s="1"/>
  <c r="AC19" i="12" s="1"/>
  <c r="V18" i="36"/>
  <c r="V19" s="1"/>
  <c r="W11" s="1"/>
  <c r="AA20" i="35"/>
  <c r="AB19"/>
  <c r="AA114" i="12"/>
  <c r="AA113"/>
  <c r="W22" i="4" l="1"/>
  <c r="X22" s="1"/>
  <c r="AA116" i="12"/>
  <c r="AA115"/>
  <c r="AB31"/>
  <c r="AB57"/>
  <c r="AB89" s="1"/>
  <c r="AB60"/>
  <c r="AB61" s="1"/>
  <c r="AF60" i="22"/>
  <c r="AB54" i="12"/>
  <c r="AA85"/>
  <c r="AA86" s="1"/>
  <c r="AA46"/>
  <c r="AA52"/>
  <c r="AA58"/>
  <c r="AE91" i="22"/>
  <c r="AB20" i="35"/>
  <c r="AC19"/>
  <c r="AG19" i="12"/>
  <c r="AC102"/>
  <c r="AC107" s="1"/>
  <c r="AC33"/>
  <c r="AC23"/>
  <c r="AB113"/>
  <c r="AB114"/>
  <c r="AF4" i="22"/>
  <c r="AB50" i="12"/>
  <c r="AB51" s="1"/>
  <c r="AB45"/>
  <c r="AF9" i="22" s="1"/>
  <c r="AB37" i="12"/>
  <c r="AF6" i="22" s="1"/>
  <c r="AE113"/>
  <c r="J141" i="12"/>
  <c r="AA90"/>
  <c r="AD19" i="6"/>
  <c r="AD20" s="1"/>
  <c r="AE12" s="1"/>
  <c r="AE13" s="1"/>
  <c r="AE19" s="1"/>
  <c r="AE20" s="1"/>
  <c r="AF12" s="1"/>
  <c r="AF13" s="1"/>
  <c r="AC20"/>
  <c r="W18" i="36" l="1"/>
  <c r="W19" s="1"/>
  <c r="W23" i="4"/>
  <c r="AB116" i="12"/>
  <c r="AB115"/>
  <c r="AC26"/>
  <c r="AC30"/>
  <c r="AG30" s="1"/>
  <c r="AG23"/>
  <c r="AG102"/>
  <c r="AG107" s="1"/>
  <c r="AF91" i="22"/>
  <c r="AB58" i="12"/>
  <c r="Y22" i="4"/>
  <c r="X23"/>
  <c r="X18" i="36"/>
  <c r="X19" s="1"/>
  <c r="AB52" i="12"/>
  <c r="AC25"/>
  <c r="AF19" i="6"/>
  <c r="AF20" s="1"/>
  <c r="AG12" s="1"/>
  <c r="AG13" s="1"/>
  <c r="AF13" i="35"/>
  <c r="AB85" i="12"/>
  <c r="AB86" s="1"/>
  <c r="AB46"/>
  <c r="AB80" s="1"/>
  <c r="J142"/>
  <c r="AB90"/>
  <c r="AE114" i="22"/>
  <c r="AC34" i="12"/>
  <c r="AC112"/>
  <c r="AC53"/>
  <c r="AG33"/>
  <c r="AC20" i="35"/>
  <c r="AD19"/>
  <c r="AA80" i="12"/>
  <c r="AA47"/>
  <c r="AF113" i="22"/>
  <c r="K141" i="12"/>
  <c r="AB47" l="1"/>
  <c r="AD20" i="35"/>
  <c r="AE12" s="1"/>
  <c r="AE13" s="1"/>
  <c r="AE12" i="36" s="1"/>
  <c r="AO19" i="12" s="1"/>
  <c r="AG53"/>
  <c r="AB91" s="1"/>
  <c r="AG60" i="22"/>
  <c r="AC57" i="12"/>
  <c r="AC89" s="1"/>
  <c r="AC90" s="1"/>
  <c r="AC60"/>
  <c r="AC54"/>
  <c r="AC37"/>
  <c r="AG6" i="22" s="1"/>
  <c r="AC50" i="12"/>
  <c r="AC51" s="1"/>
  <c r="AC52" s="1"/>
  <c r="AD52" s="1"/>
  <c r="AE52" s="1"/>
  <c r="AF52" s="1"/>
  <c r="AC45"/>
  <c r="AG9" i="22" s="1"/>
  <c r="AG4"/>
  <c r="AG19" i="6"/>
  <c r="AG20" s="1"/>
  <c r="AH12" s="1"/>
  <c r="AH13" s="1"/>
  <c r="AG13" i="35"/>
  <c r="Z22" i="4"/>
  <c r="Y23"/>
  <c r="Y18" i="36"/>
  <c r="Y19" s="1"/>
  <c r="K12" i="23"/>
  <c r="AG112" i="12"/>
  <c r="AG114" s="1"/>
  <c r="AG34"/>
  <c r="AA81"/>
  <c r="AB81" s="1"/>
  <c r="AC114"/>
  <c r="AC113"/>
  <c r="AF114" i="22"/>
  <c r="K142" i="12"/>
  <c r="AD25"/>
  <c r="AC31"/>
  <c r="K11" i="23"/>
  <c r="AG26" i="12"/>
  <c r="AE19" i="35" l="1"/>
  <c r="AE20" s="1"/>
  <c r="AF12" s="1"/>
  <c r="AD90" i="12"/>
  <c r="L142"/>
  <c r="AG114" i="22"/>
  <c r="AC91" i="12"/>
  <c r="AC116"/>
  <c r="AC115"/>
  <c r="AG115"/>
  <c r="AG116"/>
  <c r="AC85"/>
  <c r="AC46"/>
  <c r="AG51"/>
  <c r="AG91" i="22"/>
  <c r="AC58" i="12"/>
  <c r="AD54"/>
  <c r="AG89"/>
  <c r="AG90" s="1"/>
  <c r="L141"/>
  <c r="AG113" i="22"/>
  <c r="U91" i="12"/>
  <c r="V91"/>
  <c r="W91"/>
  <c r="X91"/>
  <c r="G143" s="1"/>
  <c r="Y91"/>
  <c r="Z91"/>
  <c r="AA91"/>
  <c r="AB92" s="1"/>
  <c r="AO102"/>
  <c r="AO107" s="1"/>
  <c r="AO23"/>
  <c r="AO33"/>
  <c r="AD31"/>
  <c r="AE25"/>
  <c r="M11" i="23"/>
  <c r="K143" i="12"/>
  <c r="AG50"/>
  <c r="AG37"/>
  <c r="AK6" i="22" s="1"/>
  <c r="AG45" i="12"/>
  <c r="AK9" i="22" s="1"/>
  <c r="AK4"/>
  <c r="M12" i="23"/>
  <c r="N12" s="1"/>
  <c r="K25"/>
  <c r="M25" s="1"/>
  <c r="Z23" i="4"/>
  <c r="AA22"/>
  <c r="Z18" i="36"/>
  <c r="Z19" s="1"/>
  <c r="AH19" i="6"/>
  <c r="AH20" s="1"/>
  <c r="AI12" s="1"/>
  <c r="AI13" s="1"/>
  <c r="AH13" i="35"/>
  <c r="AG60" i="12"/>
  <c r="AC61"/>
  <c r="AD61" s="1"/>
  <c r="AE61" s="1"/>
  <c r="AF61" s="1"/>
  <c r="AF19" i="35" l="1"/>
  <c r="AF20" s="1"/>
  <c r="AG12" s="1"/>
  <c r="N25" i="23"/>
  <c r="AI19" i="6"/>
  <c r="AI13" i="35"/>
  <c r="AA23" i="4"/>
  <c r="AB22"/>
  <c r="AA18" i="36"/>
  <c r="AA19" s="1"/>
  <c r="AE31" i="12"/>
  <c r="AF25"/>
  <c r="AF31" s="1"/>
  <c r="AO112"/>
  <c r="AO53"/>
  <c r="AO34"/>
  <c r="Z92"/>
  <c r="I143"/>
  <c r="E143"/>
  <c r="V92"/>
  <c r="AG85"/>
  <c r="AC86"/>
  <c r="AD86" s="1"/>
  <c r="AE86" s="1"/>
  <c r="AF86" s="1"/>
  <c r="AD91"/>
  <c r="AE90"/>
  <c r="AH114" i="22"/>
  <c r="M142" i="12"/>
  <c r="AO25"/>
  <c r="AO26"/>
  <c r="AO30"/>
  <c r="AA92"/>
  <c r="J143"/>
  <c r="H143"/>
  <c r="Y92"/>
  <c r="X92"/>
  <c r="W92"/>
  <c r="F143"/>
  <c r="D143"/>
  <c r="U92"/>
  <c r="AH91" i="22"/>
  <c r="AE54" i="12"/>
  <c r="AD58"/>
  <c r="AC80"/>
  <c r="AG46"/>
  <c r="AC47"/>
  <c r="AD47" s="1"/>
  <c r="AE47" s="1"/>
  <c r="AF47" s="1"/>
  <c r="L143"/>
  <c r="AC92"/>
  <c r="AG19" i="35" l="1"/>
  <c r="AG20" s="1"/>
  <c r="AH12" s="1"/>
  <c r="AG80" i="12"/>
  <c r="AC81"/>
  <c r="AD81" s="1"/>
  <c r="AE81" s="1"/>
  <c r="AF81" s="1"/>
  <c r="AI91" i="22"/>
  <c r="AF54" i="12"/>
  <c r="AE58"/>
  <c r="AI114" i="22"/>
  <c r="AF90" i="12"/>
  <c r="AE91"/>
  <c r="N142"/>
  <c r="AO57"/>
  <c r="AO89" s="1"/>
  <c r="AO54"/>
  <c r="AS60" i="22"/>
  <c r="AO60" i="12"/>
  <c r="AO61" s="1"/>
  <c r="AI20" i="6"/>
  <c r="AJ19"/>
  <c r="AO31" i="12"/>
  <c r="AD92"/>
  <c r="M143"/>
  <c r="AO50"/>
  <c r="AO51" s="1"/>
  <c r="AO37"/>
  <c r="AS6" i="22" s="1"/>
  <c r="AO45" i="12"/>
  <c r="AO113"/>
  <c r="AO114"/>
  <c r="AB23" i="4"/>
  <c r="AC22"/>
  <c r="AB18" i="36"/>
  <c r="AB19" s="1"/>
  <c r="AH19" i="35" l="1"/>
  <c r="AH20" s="1"/>
  <c r="AI12" s="1"/>
  <c r="AD22" i="4"/>
  <c r="AC23"/>
  <c r="AC18" i="36"/>
  <c r="AC19" s="1"/>
  <c r="AO116" i="12"/>
  <c r="AO115"/>
  <c r="AO85"/>
  <c r="AO86" s="1"/>
  <c r="AO52"/>
  <c r="AO46"/>
  <c r="AS91" i="22"/>
  <c r="AO58" i="12"/>
  <c r="AK90"/>
  <c r="K28" i="23"/>
  <c r="K29" s="1"/>
  <c r="AJ114" i="22"/>
  <c r="AF91" i="12"/>
  <c r="O142"/>
  <c r="AK19" i="6"/>
  <c r="AJ20"/>
  <c r="AS113" i="22"/>
  <c r="N143" i="12"/>
  <c r="AE92"/>
  <c r="AJ91" i="22"/>
  <c r="AF58" i="12"/>
  <c r="AI19" i="35" l="1"/>
  <c r="AI20" s="1"/>
  <c r="AL19" i="6"/>
  <c r="AL20" s="1"/>
  <c r="AK20"/>
  <c r="AL90" i="12"/>
  <c r="AO114" i="22"/>
  <c r="AD23" i="4"/>
  <c r="AE22"/>
  <c r="AD18" i="36"/>
  <c r="AD19" s="1"/>
  <c r="AE11" s="1"/>
  <c r="AF92" i="12"/>
  <c r="O143"/>
  <c r="AO47"/>
  <c r="AO80"/>
  <c r="AJ19" i="35" l="1"/>
  <c r="AK19" s="1"/>
  <c r="AO81" i="12"/>
  <c r="AE23" i="4"/>
  <c r="AF14" s="1"/>
  <c r="AF15" s="1"/>
  <c r="AE18" i="36"/>
  <c r="AE19" s="1"/>
  <c r="AF11" s="1"/>
  <c r="AM90" i="12"/>
  <c r="AP114" i="22"/>
  <c r="AJ20" i="35"/>
  <c r="AK20" l="1"/>
  <c r="AL19"/>
  <c r="AL20" s="1"/>
  <c r="AQ114" i="22"/>
  <c r="AN90" i="12"/>
  <c r="AF22" i="4"/>
  <c r="AF12" i="36"/>
  <c r="AP19" i="12" s="1"/>
  <c r="AP102" l="1"/>
  <c r="AP107" s="1"/>
  <c r="AP33"/>
  <c r="AP23"/>
  <c r="AF23" i="4"/>
  <c r="AG14" s="1"/>
  <c r="AG15" s="1"/>
  <c r="AG12" i="36" s="1"/>
  <c r="AQ19" i="12" s="1"/>
  <c r="AF18" i="36"/>
  <c r="AF19" s="1"/>
  <c r="AG11" s="1"/>
  <c r="AR114" i="22"/>
  <c r="AO90" i="12"/>
  <c r="AG22" i="4" l="1"/>
  <c r="AG18" i="36" s="1"/>
  <c r="AG19" s="1"/>
  <c r="AH11" s="1"/>
  <c r="AS114" i="22"/>
  <c r="AQ102" i="12"/>
  <c r="AQ107" s="1"/>
  <c r="AQ33"/>
  <c r="AQ23"/>
  <c r="AP26"/>
  <c r="AP30"/>
  <c r="AP25"/>
  <c r="AP112"/>
  <c r="AP34"/>
  <c r="AP53"/>
  <c r="AG23" i="4" l="1"/>
  <c r="AH14" s="1"/>
  <c r="AH15" s="1"/>
  <c r="AH22" s="1"/>
  <c r="AP50" i="12"/>
  <c r="AP51" s="1"/>
  <c r="AP45"/>
  <c r="AP37"/>
  <c r="AT6" i="22" s="1"/>
  <c r="AQ25" i="12"/>
  <c r="AP31"/>
  <c r="AQ112"/>
  <c r="AQ53"/>
  <c r="AQ34"/>
  <c r="AP57"/>
  <c r="AP89" s="1"/>
  <c r="AT60" i="22"/>
  <c r="AP60" i="12"/>
  <c r="AP61" s="1"/>
  <c r="AP54"/>
  <c r="AP114"/>
  <c r="AP113"/>
  <c r="AQ30"/>
  <c r="AQ26"/>
  <c r="AH12" i="36" l="1"/>
  <c r="AR19" i="12" s="1"/>
  <c r="AR23" s="1"/>
  <c r="AR25" s="1"/>
  <c r="AH23" i="4"/>
  <c r="AI14" s="1"/>
  <c r="AI15" s="1"/>
  <c r="AH18" i="36"/>
  <c r="AH19" s="1"/>
  <c r="AI11" s="1"/>
  <c r="AP115" i="12"/>
  <c r="AP116"/>
  <c r="AP58"/>
  <c r="AT91" i="22"/>
  <c r="AQ57" i="12"/>
  <c r="AQ89" s="1"/>
  <c r="AU113" i="22" s="1"/>
  <c r="AU60"/>
  <c r="AQ60" i="12"/>
  <c r="AQ61" s="1"/>
  <c r="AQ54"/>
  <c r="AP85"/>
  <c r="AP86" s="1"/>
  <c r="AP52"/>
  <c r="AP46"/>
  <c r="AT113" i="22"/>
  <c r="AP90" i="12"/>
  <c r="AQ37"/>
  <c r="AU6" i="22" s="1"/>
  <c r="AQ45" i="12"/>
  <c r="AQ50"/>
  <c r="AQ51" s="1"/>
  <c r="AQ113"/>
  <c r="AQ114"/>
  <c r="AQ31"/>
  <c r="AR102" l="1"/>
  <c r="AR107" s="1"/>
  <c r="AR33"/>
  <c r="AR112" s="1"/>
  <c r="AQ115"/>
  <c r="AQ116"/>
  <c r="AQ85"/>
  <c r="AQ46"/>
  <c r="AQ80" s="1"/>
  <c r="AR26"/>
  <c r="AR30"/>
  <c r="AP80"/>
  <c r="AP47"/>
  <c r="AI22" i="4"/>
  <c r="AI12" i="36"/>
  <c r="AS19" i="12" s="1"/>
  <c r="AQ86"/>
  <c r="AR31"/>
  <c r="AT114" i="22"/>
  <c r="AQ90" i="12"/>
  <c r="AQ58"/>
  <c r="AU91" i="22"/>
  <c r="AQ52" i="12"/>
  <c r="AR34" l="1"/>
  <c r="AR37" s="1"/>
  <c r="AV6" i="22" s="1"/>
  <c r="AR53" i="12"/>
  <c r="AR57" s="1"/>
  <c r="AR89" s="1"/>
  <c r="AR90" s="1"/>
  <c r="AQ47"/>
  <c r="AS102"/>
  <c r="AS107" s="1"/>
  <c r="AS23"/>
  <c r="AS33"/>
  <c r="AW19"/>
  <c r="AW102" s="1"/>
  <c r="AW107" s="1"/>
  <c r="AP81"/>
  <c r="AQ81" s="1"/>
  <c r="AR113"/>
  <c r="AR114"/>
  <c r="AU114" i="22"/>
  <c r="AI23" i="4"/>
  <c r="AJ22"/>
  <c r="AI18" i="36"/>
  <c r="AI19" s="1"/>
  <c r="AV60" i="22" l="1"/>
  <c r="AR50" i="12"/>
  <c r="AR51" s="1"/>
  <c r="AR52" s="1"/>
  <c r="AR54"/>
  <c r="AR58" s="1"/>
  <c r="AR60"/>
  <c r="AR61" s="1"/>
  <c r="AR45"/>
  <c r="AV114" i="22"/>
  <c r="AR116" i="12"/>
  <c r="AR115"/>
  <c r="AW23"/>
  <c r="AS26"/>
  <c r="AS30"/>
  <c r="AS25"/>
  <c r="AJ23" i="4"/>
  <c r="AK22"/>
  <c r="AJ18" i="36"/>
  <c r="AJ19" s="1"/>
  <c r="AV113" i="22"/>
  <c r="AW33" i="12"/>
  <c r="AS112"/>
  <c r="AS53"/>
  <c r="AS34"/>
  <c r="AR46" l="1"/>
  <c r="AR80" s="1"/>
  <c r="AR85"/>
  <c r="AR86" s="1"/>
  <c r="AV91" i="22"/>
  <c r="AS113" i="12"/>
  <c r="AS114"/>
  <c r="AW60" i="22"/>
  <c r="AS60" i="12"/>
  <c r="AS57"/>
  <c r="AS89" s="1"/>
  <c r="AS54"/>
  <c r="AW53"/>
  <c r="O12" i="23"/>
  <c r="Q12" s="1"/>
  <c r="R12" s="1"/>
  <c r="AW112" i="12"/>
  <c r="AW114" s="1"/>
  <c r="AW34"/>
  <c r="AK23" i="4"/>
  <c r="AL22"/>
  <c r="AK18" i="36"/>
  <c r="AK19" s="1"/>
  <c r="AT25" i="12"/>
  <c r="AS31"/>
  <c r="AS50"/>
  <c r="AS51" s="1"/>
  <c r="AS37"/>
  <c r="AW6" i="22" s="1"/>
  <c r="AS45" i="12"/>
  <c r="O11" i="23"/>
  <c r="AW26" i="12"/>
  <c r="AR47" l="1"/>
  <c r="Q11" i="23"/>
  <c r="AU25" i="12"/>
  <c r="AT31"/>
  <c r="AL23" i="4"/>
  <c r="AL18" i="36"/>
  <c r="AL19" s="1"/>
  <c r="AW45" i="12"/>
  <c r="AW50"/>
  <c r="AW37"/>
  <c r="AS58"/>
  <c r="AW91" i="22"/>
  <c r="AT54" i="12"/>
  <c r="AW60"/>
  <c r="AS61"/>
  <c r="AT61" s="1"/>
  <c r="AU61" s="1"/>
  <c r="AV61" s="1"/>
  <c r="AR81"/>
  <c r="AW51"/>
  <c r="AS85"/>
  <c r="AS52"/>
  <c r="AT52" s="1"/>
  <c r="AU52" s="1"/>
  <c r="AV52" s="1"/>
  <c r="AS46"/>
  <c r="AW116"/>
  <c r="AW115"/>
  <c r="AK91"/>
  <c r="AK92" s="1"/>
  <c r="AL91"/>
  <c r="AM91"/>
  <c r="AN91"/>
  <c r="AO91"/>
  <c r="AP91"/>
  <c r="AQ91"/>
  <c r="AR91"/>
  <c r="AW113" i="22"/>
  <c r="AS90" i="12"/>
  <c r="AW89"/>
  <c r="AS115"/>
  <c r="AS116"/>
  <c r="AQ92" l="1"/>
  <c r="AO92"/>
  <c r="AM92"/>
  <c r="AT90"/>
  <c r="AW114" i="22"/>
  <c r="AS91" i="12"/>
  <c r="AS92" s="1"/>
  <c r="AS80"/>
  <c r="AW80" s="1"/>
  <c r="AW46"/>
  <c r="AW85"/>
  <c r="AS86"/>
  <c r="AT86" s="1"/>
  <c r="AU86" s="1"/>
  <c r="AV86" s="1"/>
  <c r="AU31"/>
  <c r="AV25"/>
  <c r="AV31" s="1"/>
  <c r="AR92"/>
  <c r="AP92"/>
  <c r="AN92"/>
  <c r="AL92"/>
  <c r="AS47"/>
  <c r="AT47" s="1"/>
  <c r="AU47" s="1"/>
  <c r="AV47" s="1"/>
  <c r="AU54"/>
  <c r="AT58"/>
  <c r="AX91" i="22"/>
  <c r="AS81" i="12"/>
  <c r="AT81" s="1"/>
  <c r="AU81" s="1"/>
  <c r="AV81" s="1"/>
  <c r="AU58" l="1"/>
  <c r="AV54"/>
  <c r="AY91" i="22"/>
  <c r="AU90" i="12"/>
  <c r="AT91"/>
  <c r="AT92" s="1"/>
  <c r="AX114" i="22"/>
  <c r="AU91" i="12" l="1"/>
  <c r="AU92" s="1"/>
  <c r="AV90"/>
  <c r="AY114" i="22"/>
  <c r="AV58" i="12"/>
  <c r="AZ91" i="22"/>
  <c r="AZ114" l="1"/>
  <c r="AV91" i="12"/>
  <c r="AV92" s="1"/>
  <c r="O28" i="23"/>
  <c r="O29" s="1"/>
</calcChain>
</file>

<file path=xl/comments1.xml><?xml version="1.0" encoding="utf-8"?>
<comments xmlns="http://schemas.openxmlformats.org/spreadsheetml/2006/main">
  <authors>
    <author>Department of Public Utilities</author>
    <author>DaughtryD</author>
    <author>daughtryd</author>
  </authors>
  <commentList>
    <comment ref="C19" authorId="0">
      <text>
        <r>
          <rPr>
            <sz val="12"/>
            <color indexed="81"/>
            <rFont val="Arial Narrow"/>
            <family val="2"/>
          </rPr>
          <t>Act Tot -Dem,
Proj Dth*NYMEX
Winter - Stor $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19" authorId="0">
      <text>
        <r>
          <rPr>
            <sz val="12"/>
            <color indexed="81"/>
            <rFont val="Arial Narrow"/>
            <family val="2"/>
          </rPr>
          <t>Act Tot -Dem,
Proj Dth*NYMEX
Winter - Stor $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19" authorId="0">
      <text>
        <r>
          <rPr>
            <sz val="12"/>
            <color indexed="81"/>
            <rFont val="Arial Narrow"/>
            <family val="2"/>
          </rPr>
          <t>Act Tot -Dem,
Proj Dth*NYMEX
Winter - Stor $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sz val="12"/>
            <color indexed="81"/>
            <rFont val="Arial Narrow"/>
            <family val="2"/>
          </rPr>
          <t>Act FSA
Plan Comd+Dem</t>
        </r>
      </text>
    </comment>
    <comment ref="T23" authorId="0">
      <text>
        <r>
          <rPr>
            <sz val="12"/>
            <color indexed="81"/>
            <rFont val="Arial Narrow"/>
            <family val="2"/>
          </rPr>
          <t>Act FSA
Plan Comd+Dem</t>
        </r>
      </text>
    </comment>
    <comment ref="AJ23" authorId="0">
      <text>
        <r>
          <rPr>
            <sz val="12"/>
            <color indexed="81"/>
            <rFont val="Arial Narrow"/>
            <family val="2"/>
          </rPr>
          <t>Act FSA
Plan Comd+Dem</t>
        </r>
      </text>
    </comment>
    <comment ref="C33" authorId="0">
      <text>
        <r>
          <rPr>
            <sz val="12"/>
            <color indexed="81"/>
            <rFont val="Arial Narrow"/>
            <family val="2"/>
          </rPr>
          <t>Total Comd - Non-PGC Comd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3" authorId="0">
      <text>
        <r>
          <rPr>
            <sz val="12"/>
            <color indexed="81"/>
            <rFont val="Arial Narrow"/>
            <family val="2"/>
          </rPr>
          <t>Total Comd - Non-PGC Comd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33" authorId="0">
      <text>
        <r>
          <rPr>
            <sz val="12"/>
            <color indexed="81"/>
            <rFont val="Arial Narrow"/>
            <family val="2"/>
          </rPr>
          <t>Total Comd - Non-PGC Comd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5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35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sz val="12"/>
            <color indexed="81"/>
            <rFont val="Tahoma"/>
            <family val="2"/>
          </rPr>
          <t>RS,GS,MS Comd +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37" authorId="0">
      <text>
        <r>
          <rPr>
            <sz val="12"/>
            <color indexed="81"/>
            <rFont val="Tahoma"/>
            <family val="2"/>
          </rPr>
          <t>RS,GS,MS Comd +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39" authorId="1">
      <text>
        <r>
          <rPr>
            <sz val="12"/>
            <color indexed="81"/>
            <rFont val="Tahoma"/>
            <family val="2"/>
          </rPr>
          <t>UPDATE EACH
MONTH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9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45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6" authorId="0">
      <text>
        <r>
          <rPr>
            <sz val="12"/>
            <color indexed="81"/>
            <rFont val="Tahoma"/>
            <family val="2"/>
          </rPr>
          <t>(PGC Comd - 
CIS Comd) +
RS,GS,MS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6" authorId="0">
      <text>
        <r>
          <rPr>
            <sz val="12"/>
            <color indexed="81"/>
            <rFont val="Tahoma"/>
            <family val="2"/>
          </rPr>
          <t>(PGC Comd - 
CIS Comd) +
RS,GS,MS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46" authorId="0">
      <text>
        <r>
          <rPr>
            <sz val="12"/>
            <color indexed="81"/>
            <rFont val="Tahoma"/>
            <family val="2"/>
          </rPr>
          <t>(PGC Comd - 
CIS Comd) +
RS,GS,MS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59" authorId="0">
      <text>
        <r>
          <rPr>
            <sz val="12"/>
            <color indexed="81"/>
            <rFont val="Tahoma"/>
            <family val="2"/>
          </rPr>
          <t>REV VOL</t>
        </r>
      </text>
    </comment>
    <comment ref="T59" authorId="0">
      <text>
        <r>
          <rPr>
            <sz val="12"/>
            <color indexed="81"/>
            <rFont val="Tahoma"/>
            <family val="2"/>
          </rPr>
          <t>REV VOL</t>
        </r>
      </text>
    </comment>
    <comment ref="AJ59" authorId="0">
      <text>
        <r>
          <rPr>
            <sz val="12"/>
            <color indexed="81"/>
            <rFont val="Tahoma"/>
            <family val="2"/>
          </rPr>
          <t>Fin Ops</t>
        </r>
      </text>
    </comment>
    <comment ref="C63" authorId="0">
      <text>
        <r>
          <rPr>
            <sz val="12"/>
            <color indexed="81"/>
            <rFont val="Tahoma"/>
            <family val="2"/>
          </rPr>
          <t>LINK TO LVS HEDGE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63" authorId="0">
      <text>
        <r>
          <rPr>
            <sz val="12"/>
            <color indexed="81"/>
            <rFont val="Tahoma"/>
            <family val="2"/>
          </rPr>
          <t>LINK TO LVS HEDGE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63" authorId="0">
      <text>
        <r>
          <rPr>
            <sz val="12"/>
            <color indexed="81"/>
            <rFont val="Tahoma"/>
            <family val="2"/>
          </rPr>
          <t>LINK TO LVS HEDGE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7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 $5.19</t>
        </r>
      </text>
    </comment>
    <comment ref="E67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 $5.36</t>
        </r>
      </text>
    </comment>
    <comment ref="F67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$4.26</t>
        </r>
      </text>
    </comment>
    <comment ref="G67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 xml:space="preserve">REV VOL
$4.23
</t>
        </r>
      </text>
    </comment>
    <comment ref="H67" authorId="1">
      <text>
        <r>
          <rPr>
            <b/>
            <sz val="12"/>
            <color indexed="81"/>
            <rFont val="Tahoma"/>
            <family val="2"/>
          </rPr>
          <t>DaughtryD:</t>
        </r>
        <r>
          <rPr>
            <sz val="12"/>
            <color indexed="81"/>
            <rFont val="Tahoma"/>
            <family val="2"/>
          </rPr>
          <t xml:space="preserve">
REV VOL
$4.00</t>
        </r>
      </text>
    </comment>
    <comment ref="I67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$4.38</t>
        </r>
      </text>
    </comment>
    <comment ref="J67" authorId="1">
      <text>
        <r>
          <rPr>
            <b/>
            <sz val="14"/>
            <color indexed="81"/>
            <rFont val="Tahoma"/>
            <family val="2"/>
          </rPr>
          <t>DaughtryD:</t>
        </r>
        <r>
          <rPr>
            <sz val="14"/>
            <color indexed="81"/>
            <rFont val="Tahoma"/>
            <family val="2"/>
          </rPr>
          <t xml:space="preserve">
REV VOL
$4.80</t>
        </r>
      </text>
    </comment>
    <comment ref="K67" authorId="1">
      <text>
        <r>
          <rPr>
            <b/>
            <sz val="14"/>
            <color indexed="81"/>
            <rFont val="Tahoma"/>
            <family val="2"/>
          </rPr>
          <t>DaughtryD:</t>
        </r>
        <r>
          <rPr>
            <sz val="14"/>
            <color indexed="81"/>
            <rFont val="Tahoma"/>
            <family val="2"/>
          </rPr>
          <t xml:space="preserve">
REV VOL
$4.83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67" authorId="2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$4.54</t>
        </r>
      </text>
    </comment>
    <comment ref="M67" authorId="2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$4.38</t>
        </r>
      </text>
    </comment>
    <comment ref="N67" authorId="2">
      <text>
        <r>
          <rPr>
            <b/>
            <sz val="14"/>
            <color indexed="81"/>
            <rFont val="Tahoma"/>
            <family val="2"/>
          </rPr>
          <t>daughtryd:</t>
        </r>
        <r>
          <rPr>
            <sz val="14"/>
            <color indexed="81"/>
            <rFont val="Tahoma"/>
            <family val="2"/>
          </rPr>
          <t xml:space="preserve">
REV VOL
$4.80</t>
        </r>
      </text>
    </comment>
    <comment ref="O67" authorId="2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$4.81</t>
        </r>
      </text>
    </comment>
    <comment ref="L90" authorId="1">
      <text>
        <r>
          <rPr>
            <sz val="14"/>
            <color indexed="81"/>
            <rFont val="Tahoma"/>
            <family val="2"/>
          </rPr>
          <t>NEEDS TO
BE +$5M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90" authorId="1">
      <text>
        <r>
          <rPr>
            <sz val="12"/>
            <color indexed="81"/>
            <rFont val="Tahoma"/>
            <family val="2"/>
          </rPr>
          <t>NEEDS TO BE
$+5M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90" authorId="1">
      <text>
        <r>
          <rPr>
            <sz val="12"/>
            <color indexed="81"/>
            <rFont val="Tahoma"/>
            <family val="2"/>
          </rPr>
          <t>NEEDS TO BE
$5M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Department of Public Utilities</author>
    <author>DaughtryD</author>
  </authors>
  <commentList>
    <comment ref="B2" authorId="0">
      <text>
        <r>
          <rPr>
            <sz val="8"/>
            <color indexed="81"/>
            <rFont val="Tahoma"/>
            <family val="2"/>
          </rPr>
          <t xml:space="preserve">Degree Day adjustment
</t>
        </r>
      </text>
    </comment>
    <comment ref="R2" authorId="0">
      <text>
        <r>
          <rPr>
            <sz val="8"/>
            <color indexed="81"/>
            <rFont val="Tahoma"/>
            <family val="2"/>
          </rPr>
          <t xml:space="preserve">Degree Day adjustment
</t>
        </r>
      </text>
    </comment>
    <comment ref="AH2" authorId="0">
      <text>
        <r>
          <rPr>
            <sz val="8"/>
            <color indexed="81"/>
            <rFont val="Tahoma"/>
            <family val="2"/>
          </rPr>
          <t xml:space="preserve">Degree Day adjustment
</t>
        </r>
      </text>
    </comment>
    <comment ref="B13" authorId="0">
      <text>
        <r>
          <rPr>
            <sz val="8"/>
            <color indexed="81"/>
            <rFont val="Tahoma"/>
            <family val="2"/>
          </rPr>
          <t xml:space="preserve">Col Gulf &amp; Gas
</t>
        </r>
      </text>
    </comment>
    <comment ref="R13" authorId="0">
      <text>
        <r>
          <rPr>
            <sz val="8"/>
            <color indexed="81"/>
            <rFont val="Tahoma"/>
            <family val="2"/>
          </rPr>
          <t xml:space="preserve">Col Gulf &amp; Gas
</t>
        </r>
      </text>
    </comment>
    <comment ref="AH13" authorId="0">
      <text>
        <r>
          <rPr>
            <sz val="8"/>
            <color indexed="81"/>
            <rFont val="Tahoma"/>
            <family val="2"/>
          </rPr>
          <t xml:space="preserve">Col Gulf &amp; Gas
</t>
        </r>
      </text>
    </comment>
    <comment ref="A26" authorId="1">
      <text>
        <r>
          <rPr>
            <sz val="12"/>
            <color indexed="81"/>
            <rFont val="Tahoma"/>
            <family val="2"/>
          </rPr>
          <t>MODEL DESIGN DAY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26" authorId="1">
      <text>
        <r>
          <rPr>
            <sz val="12"/>
            <color indexed="81"/>
            <rFont val="Tahoma"/>
            <family val="2"/>
          </rPr>
          <t>MODEL PEAK DAY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26" authorId="1">
      <text>
        <r>
          <rPr>
            <sz val="12"/>
            <color indexed="81"/>
            <rFont val="Tahoma"/>
            <family val="2"/>
          </rPr>
          <t>MODEL PEAK DAY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7" authorId="1">
      <text>
        <r>
          <rPr>
            <sz val="12"/>
            <color indexed="81"/>
            <rFont val="Tahoma"/>
            <family val="2"/>
          </rPr>
          <t>MODEL
BASELOAD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7" authorId="0">
      <text>
        <r>
          <rPr>
            <sz val="12"/>
            <color indexed="81"/>
            <rFont val="Tahoma"/>
            <family val="2"/>
          </rPr>
          <t xml:space="preserve">MODEL
HEAT LOAD
</t>
        </r>
      </text>
    </comment>
    <comment ref="R27" authorId="0">
      <text>
        <r>
          <rPr>
            <sz val="8"/>
            <color indexed="81"/>
            <rFont val="Tahoma"/>
            <family val="2"/>
          </rPr>
          <t xml:space="preserve">Total Dth Sales model
</t>
        </r>
      </text>
    </comment>
    <comment ref="AH27" authorId="0">
      <text>
        <r>
          <rPr>
            <sz val="8"/>
            <color indexed="81"/>
            <rFont val="Tahoma"/>
            <family val="2"/>
          </rPr>
          <t xml:space="preserve">Total Dth Sales model
</t>
        </r>
      </text>
    </comment>
    <comment ref="A28" authorId="1">
      <text>
        <r>
          <rPr>
            <sz val="12"/>
            <color indexed="81"/>
            <rFont val="Tahoma"/>
            <family val="2"/>
          </rPr>
          <t>0910 WINTER
 REGRESSION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BASELOAD</t>
        </r>
      </text>
    </comment>
    <comment ref="B28" authorId="1">
      <text>
        <r>
          <rPr>
            <sz val="12"/>
            <color indexed="81"/>
            <rFont val="Tahoma"/>
            <family val="2"/>
          </rPr>
          <t>0910 WINTER
REGRESSION
HEAT LOAD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9" authorId="1">
      <text>
        <r>
          <rPr>
            <sz val="12"/>
            <color indexed="81"/>
            <rFont val="Tahoma"/>
            <family val="2"/>
          </rPr>
          <t>0910 WINTER 
REGRESSION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 DESIGN DAY</t>
        </r>
      </text>
    </comment>
    <comment ref="A37" authorId="1">
      <text>
        <r>
          <rPr>
            <sz val="12"/>
            <color indexed="81"/>
            <rFont val="Tahoma"/>
            <family val="2"/>
          </rPr>
          <t>0910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7" authorId="1">
      <text>
        <r>
          <rPr>
            <sz val="12"/>
            <color indexed="81"/>
            <rFont val="Tahoma"/>
            <family val="2"/>
          </rPr>
          <t xml:space="preserve">0910
</t>
        </r>
      </text>
    </comment>
    <comment ref="Q37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37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37" authorId="1">
      <text>
        <r>
          <rPr>
            <sz val="12"/>
            <color indexed="81"/>
            <rFont val="Tahoma"/>
            <family val="2"/>
          </rPr>
          <t xml:space="preserve">LINKED TO 1112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37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42" authorId="1">
      <text>
        <r>
          <rPr>
            <sz val="12"/>
            <color indexed="81"/>
            <rFont val="Tahoma"/>
            <family val="2"/>
          </rPr>
          <t xml:space="preserve">0910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2" authorId="1">
      <text>
        <r>
          <rPr>
            <sz val="12"/>
            <color indexed="81"/>
            <rFont val="Tahoma"/>
            <family val="2"/>
          </rPr>
          <t xml:space="preserve">0910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2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42" authorId="1">
      <text>
        <r>
          <rPr>
            <sz val="12"/>
            <color indexed="81"/>
            <rFont val="Tahoma"/>
            <family val="2"/>
          </rPr>
          <t xml:space="preserve">LINKED TO 1011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42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42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46" authorId="1">
      <text>
        <r>
          <rPr>
            <sz val="12"/>
            <color indexed="81"/>
            <rFont val="Tahoma"/>
            <family val="2"/>
          </rPr>
          <t xml:space="preserve">0910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6" authorId="1">
      <text>
        <r>
          <rPr>
            <sz val="12"/>
            <color indexed="81"/>
            <rFont val="Tahoma"/>
            <family val="2"/>
          </rPr>
          <t xml:space="preserve">0910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6" authorId="1">
      <text>
        <r>
          <rPr>
            <sz val="12"/>
            <color indexed="81"/>
            <rFont val="Tahoma"/>
            <family val="2"/>
          </rPr>
          <t>LINKED TO 
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46" authorId="1">
      <text>
        <r>
          <rPr>
            <sz val="12"/>
            <color indexed="81"/>
            <rFont val="Tahoma"/>
            <family val="2"/>
          </rPr>
          <t>LINKED TO 1011</t>
        </r>
      </text>
    </comment>
    <comment ref="AG46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46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48" authorId="1">
      <text>
        <r>
          <rPr>
            <sz val="12"/>
            <color indexed="81"/>
            <rFont val="Tahoma"/>
            <family val="2"/>
          </rPr>
          <t xml:space="preserve">0910
 </t>
        </r>
      </text>
    </comment>
    <comment ref="B48" authorId="1">
      <text>
        <r>
          <rPr>
            <sz val="12"/>
            <color indexed="81"/>
            <rFont val="Tahoma"/>
            <family val="2"/>
          </rPr>
          <t xml:space="preserve">0910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8" authorId="1">
      <text>
        <r>
          <rPr>
            <sz val="12"/>
            <color indexed="81"/>
            <rFont val="Tahoma"/>
            <family val="2"/>
          </rPr>
          <t>LINKED TO 1011</t>
        </r>
      </text>
    </comment>
    <comment ref="R48" authorId="1">
      <text>
        <r>
          <rPr>
            <sz val="12"/>
            <color indexed="81"/>
            <rFont val="Tahoma"/>
            <family val="2"/>
          </rPr>
          <t>LINKED TO
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48" authorId="1">
      <text>
        <r>
          <rPr>
            <sz val="12"/>
            <color indexed="81"/>
            <rFont val="Tahoma"/>
            <family val="2"/>
          </rPr>
          <t>LINKED TO 1011</t>
        </r>
      </text>
    </comment>
    <comment ref="AH48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56" authorId="1">
      <text>
        <r>
          <rPr>
            <sz val="12"/>
            <color indexed="81"/>
            <rFont val="Tahoma"/>
            <family val="2"/>
          </rPr>
          <t>0910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6" authorId="1">
      <text>
        <r>
          <rPr>
            <sz val="12"/>
            <color indexed="81"/>
            <rFont val="Tahoma"/>
            <family val="2"/>
          </rPr>
          <t xml:space="preserve">0910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56" authorId="1">
      <text>
        <r>
          <rPr>
            <sz val="12"/>
            <color indexed="81"/>
            <rFont val="Tahoma"/>
            <family val="2"/>
          </rPr>
          <t>LINKED TO
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56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56" authorId="1">
      <text>
        <r>
          <rPr>
            <sz val="12"/>
            <color indexed="81"/>
            <rFont val="Tahoma"/>
            <family val="2"/>
          </rPr>
          <t>LINKED TO 1112</t>
        </r>
      </text>
    </comment>
    <comment ref="AH56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0" authorId="1">
      <text>
        <r>
          <rPr>
            <sz val="12"/>
            <color indexed="81"/>
            <rFont val="Tahoma"/>
            <family val="2"/>
          </rPr>
          <t>0910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0" authorId="1">
      <text>
        <r>
          <rPr>
            <sz val="12"/>
            <color indexed="81"/>
            <rFont val="Tahoma"/>
            <family val="2"/>
          </rPr>
          <t>0910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60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60" authorId="1">
      <text>
        <r>
          <rPr>
            <sz val="12"/>
            <color indexed="81"/>
            <rFont val="Tahoma"/>
            <family val="2"/>
          </rPr>
          <t>LINKED TO 1011</t>
        </r>
      </text>
    </comment>
    <comment ref="AG60" authorId="1">
      <text>
        <r>
          <rPr>
            <sz val="12"/>
            <color indexed="81"/>
            <rFont val="Tahoma"/>
            <family val="2"/>
          </rPr>
          <t>LINKED TO 1112</t>
        </r>
      </text>
    </comment>
    <comment ref="AH60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DaughtryD</author>
    <author>Department of Public Utilities</author>
  </authors>
  <commentList>
    <comment ref="G39" authorId="0">
      <text>
        <r>
          <rPr>
            <sz val="12"/>
            <color indexed="81"/>
            <rFont val="Tahoma"/>
            <family val="2"/>
          </rPr>
          <t>INCLUDES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STORAGE 
INJECTIONS</t>
        </r>
      </text>
    </comment>
    <comment ref="E46" authorId="0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PREPAY
DISCOUNT</t>
        </r>
      </text>
    </comment>
    <comment ref="V46" authorId="0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PREPAY
DISCOUNT</t>
        </r>
      </text>
    </comment>
    <comment ref="AM46" authorId="0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PREPAY
DISCOUNT</t>
        </r>
      </text>
    </comment>
    <comment ref="E109" authorId="1">
      <text>
        <r>
          <rPr>
            <sz val="8"/>
            <color indexed="81"/>
            <rFont val="Tahoma"/>
            <family val="2"/>
          </rPr>
          <t>NYMEX ADJUSTMENT</t>
        </r>
      </text>
    </comment>
    <comment ref="F109" authorId="1">
      <text>
        <r>
          <rPr>
            <sz val="8"/>
            <color indexed="81"/>
            <rFont val="Tahoma"/>
            <family val="2"/>
          </rPr>
          <t xml:space="preserve">LINKS TO HEDGE FILE
</t>
        </r>
      </text>
    </comment>
    <comment ref="V109" authorId="1">
      <text>
        <r>
          <rPr>
            <sz val="8"/>
            <color indexed="81"/>
            <rFont val="Tahoma"/>
            <family val="2"/>
          </rPr>
          <t>NYMEX ADJUSTMENT</t>
        </r>
      </text>
    </comment>
    <comment ref="W109" authorId="1">
      <text>
        <r>
          <rPr>
            <sz val="8"/>
            <color indexed="81"/>
            <rFont val="Tahoma"/>
            <family val="2"/>
          </rPr>
          <t xml:space="preserve">LINKS TO HEDGE FILE
</t>
        </r>
      </text>
    </comment>
    <comment ref="AM109" authorId="1">
      <text>
        <r>
          <rPr>
            <sz val="8"/>
            <color indexed="81"/>
            <rFont val="Tahoma"/>
            <family val="2"/>
          </rPr>
          <t>NYMEX ADJUSTMENT</t>
        </r>
      </text>
    </comment>
    <comment ref="AN109" authorId="1">
      <text>
        <r>
          <rPr>
            <sz val="8"/>
            <color indexed="81"/>
            <rFont val="Tahoma"/>
            <family val="2"/>
          </rPr>
          <t xml:space="preserve">LINKS TO HEDGE FILE
</t>
        </r>
      </text>
    </comment>
  </commentList>
</comments>
</file>

<file path=xl/sharedStrings.xml><?xml version="1.0" encoding="utf-8"?>
<sst xmlns="http://schemas.openxmlformats.org/spreadsheetml/2006/main" count="2440" uniqueCount="953">
  <si>
    <t>TOTAL</t>
  </si>
  <si>
    <t>DAYS</t>
  </si>
  <si>
    <t>VNG - DEMAND</t>
  </si>
  <si>
    <t>VNG - RATE</t>
  </si>
  <si>
    <t>VNG - DEMAND COST</t>
  </si>
  <si>
    <t>VNG - O &amp; M</t>
  </si>
  <si>
    <t>VNG - TOTAL</t>
  </si>
  <si>
    <t>COLUMBIA GULF (FTS-1) - DEMAND</t>
  </si>
  <si>
    <t>COLUMBIA GULF (FTS-1) - RATE</t>
  </si>
  <si>
    <t>COLUMBIA GULF (FTS-1) - COST</t>
  </si>
  <si>
    <t>COLUMBIA GAS (FTS) - DEMAND</t>
  </si>
  <si>
    <t>COLUMBIA GAS (FTS) - RATE</t>
  </si>
  <si>
    <t>COLUMBIA GAS (FTS) - COST</t>
  </si>
  <si>
    <t>TOTAL COLUMBIA FT DEMAND</t>
  </si>
  <si>
    <t>TRANSCO (FT) - DEMAND</t>
  </si>
  <si>
    <t>TRANSCO (FT) - RATE</t>
  </si>
  <si>
    <t>TRANSCO (FT) - COST</t>
  </si>
  <si>
    <t>TRANSCO - LEIDY - DEMAND</t>
  </si>
  <si>
    <t>TRANSCO - LEIDY - RATE</t>
  </si>
  <si>
    <t>TRANSCO - LEIDY - COST</t>
  </si>
  <si>
    <t>TOTAL TRANSCO FT DEMAND</t>
  </si>
  <si>
    <t>STORAGE TRANSPORTATION - RESERVATION</t>
  </si>
  <si>
    <t>COLUMBIA GAS (SST) - DEMAND</t>
  </si>
  <si>
    <t>COLUMBIA GAS (SST) - RATE</t>
  </si>
  <si>
    <t>COLUMBIA GAS (SST) - COST</t>
  </si>
  <si>
    <t>TOTAL STORAGE TRANSPORTATION COSTS</t>
  </si>
  <si>
    <t>STORAGE DEMAND AND CAPACITY</t>
  </si>
  <si>
    <t>COLUMBIA GAS (FSS)  - DEMAND</t>
  </si>
  <si>
    <t>COLUMBIA GAS (FSS)  - RATE</t>
  </si>
  <si>
    <t>COLUMBIA GAS (FSS)  - COST</t>
  </si>
  <si>
    <t>COLUMBIA GAS (FSS)  - CAPACITY</t>
  </si>
  <si>
    <t>TOTAL STORAGE DEMAND &amp; CAPACITY COSTS</t>
  </si>
  <si>
    <t>TOTAL CNG STORAGE DEMAND COSTS</t>
  </si>
  <si>
    <t>TOTAL COLUMBIA STORAGE DEMAND COSTS</t>
  </si>
  <si>
    <t>TOTAL STORAGE DEMAND COSTS</t>
  </si>
  <si>
    <t>LNG DEMAND &amp; CAPACITY COSTS</t>
  </si>
  <si>
    <t>LNG - DEMAND</t>
  </si>
  <si>
    <t>LNG - RATE</t>
  </si>
  <si>
    <t>LNG - COST</t>
  </si>
  <si>
    <t>LNG - CAPACITY</t>
  </si>
  <si>
    <t>TOTAL LNG DEMAND &amp; CAPACITY COSTS</t>
  </si>
  <si>
    <t>TOTAL DEMAND COSTS</t>
  </si>
  <si>
    <t>COL GAS</t>
  </si>
  <si>
    <t>COL GULF</t>
  </si>
  <si>
    <t>TRANSCO</t>
  </si>
  <si>
    <t>VNG</t>
  </si>
  <si>
    <t>TOTAL PIPELINES</t>
  </si>
  <si>
    <t>DTH</t>
  </si>
  <si>
    <t>$/DTH</t>
  </si>
  <si>
    <t>$</t>
  </si>
  <si>
    <t>COL TOTAL</t>
  </si>
  <si>
    <t>COL WACOG</t>
  </si>
  <si>
    <t>TRANSCO TOTAL</t>
  </si>
  <si>
    <t>TRANSCO WACOG</t>
  </si>
  <si>
    <t>HEDGED TOTAL</t>
  </si>
  <si>
    <t>CAPACITY</t>
  </si>
  <si>
    <t>STOI MAX</t>
  </si>
  <si>
    <t>STOI $/DTH</t>
  </si>
  <si>
    <t>STOI $</t>
  </si>
  <si>
    <t>STOW $/DTH</t>
  </si>
  <si>
    <t>STOW $</t>
  </si>
  <si>
    <t>FSS WACOG</t>
  </si>
  <si>
    <t>GSS TRANSFER</t>
  </si>
  <si>
    <t>GSS TRANSFER $/DTH</t>
  </si>
  <si>
    <t>GSS TRANSFER $</t>
  </si>
  <si>
    <t>GSS WACOG</t>
  </si>
  <si>
    <t xml:space="preserve">COL TOTAL </t>
  </si>
  <si>
    <t>LVS Hedge</t>
  </si>
  <si>
    <t>COLUMBIA &amp; TRANSCO TOTAL</t>
  </si>
  <si>
    <t>P L A N</t>
  </si>
  <si>
    <t>Total Mcfs</t>
  </si>
  <si>
    <t>Total Demand Costs</t>
  </si>
  <si>
    <t>Non-PGC Hedge Mcfs</t>
  </si>
  <si>
    <t>Non-PGC Hedge Costs</t>
  </si>
  <si>
    <t>Non-PGC WACOG Mcfs</t>
  </si>
  <si>
    <t>Non-PGC Demand Costs</t>
  </si>
  <si>
    <t>Total Non-PGC Costs</t>
  </si>
  <si>
    <t>PGC Commodity Costs</t>
  </si>
  <si>
    <t>Cumulative PGC Recovery</t>
  </si>
  <si>
    <t>PROJECTIONS - CG DTHS</t>
  </si>
  <si>
    <t>PROJECTIONS - BURNER MCFS</t>
  </si>
  <si>
    <t>BTU</t>
  </si>
  <si>
    <t>LOSS</t>
  </si>
  <si>
    <t>ACTUALS - FINANCIAL OPS SALES</t>
  </si>
  <si>
    <t>FUEL</t>
  </si>
  <si>
    <t>Days</t>
  </si>
  <si>
    <t>BASE</t>
  </si>
  <si>
    <t>HEAT</t>
  </si>
  <si>
    <t>FT GAS - HEDGE COST</t>
  </si>
  <si>
    <t>FT GAS - HEDGE $/DTH</t>
  </si>
  <si>
    <t>FT GAS - HEDGE MTH DTH</t>
  </si>
  <si>
    <t xml:space="preserve">COLUMBIA FSS DTH </t>
  </si>
  <si>
    <t>TOTAL STORAGE DTH</t>
  </si>
  <si>
    <t>FT GAS - INDEX MTH DTH</t>
  </si>
  <si>
    <t>FT GAS - DTH/DAY</t>
  </si>
  <si>
    <t>CG FT - MAX DTH/DAY</t>
  </si>
  <si>
    <t>FT GAS - HEDGE DTH/DAY</t>
  </si>
  <si>
    <t>FT GAS - INDEX DTH/DAY</t>
  </si>
  <si>
    <t>FT GAS - INDEX/NYMEX $/DTH</t>
  </si>
  <si>
    <t>FT GAS - INDEX COST</t>
  </si>
  <si>
    <t>FT</t>
  </si>
  <si>
    <t>FT GAS - WACOG @ CG $/DTH</t>
  </si>
  <si>
    <t>FT GAS - WACOG @ BURNER $/MCF</t>
  </si>
  <si>
    <t>CIS</t>
  </si>
  <si>
    <t>LVS</t>
  </si>
  <si>
    <t>FT GAS - TOTAL COST</t>
  </si>
  <si>
    <t>NON-PGC WACOG</t>
  </si>
  <si>
    <t>$/MCF</t>
  </si>
  <si>
    <t>Non-PGC Hedge $/Mcf</t>
  </si>
  <si>
    <t>Non-PGC WACOG $/Mcf</t>
  </si>
  <si>
    <t>Non-PGC WACOG Costs</t>
  </si>
  <si>
    <t>COLUMBIA &amp; TRANSCO TOTAL @ CG</t>
  </si>
  <si>
    <t>COLUMBIA &amp; TRANSCO TOTAL @ BURNER</t>
  </si>
  <si>
    <t>FT GAS - HEDGE &amp; INDEX WACOG</t>
  </si>
  <si>
    <t>Projected Gas Costs and PGC Recovery</t>
  </si>
  <si>
    <t>City of Richmond</t>
  </si>
  <si>
    <t>Department of Public Utilities</t>
  </si>
  <si>
    <t>PLAN</t>
  </si>
  <si>
    <t>PGC Mcfs</t>
  </si>
  <si>
    <t>Non-PGC Mcfs</t>
  </si>
  <si>
    <t>Non-PGC Commodity Costs</t>
  </si>
  <si>
    <t>COSTS</t>
  </si>
  <si>
    <t>REVENUE</t>
  </si>
  <si>
    <t>FACTOR</t>
  </si>
  <si>
    <t>PGC MTH COST &amp; REVENUES ($M)</t>
  </si>
  <si>
    <t>MONTH</t>
  </si>
  <si>
    <t>CUMULATIVE</t>
  </si>
  <si>
    <t>DEGDAY ADJ</t>
  </si>
  <si>
    <t>NORMAL &amp; ACTUAL DEGREE DAYS</t>
  </si>
  <si>
    <t>CIS Demand Costs</t>
  </si>
  <si>
    <t>RS,GS,MS Mcfs</t>
  </si>
  <si>
    <t>Total Commodity Costs of Sales</t>
  </si>
  <si>
    <t>Total Cost of Sales</t>
  </si>
  <si>
    <t>CIS PGC Rate</t>
  </si>
  <si>
    <t>RS,GS,MS PGC Rate</t>
  </si>
  <si>
    <t>RS,GS,MS Demand Costs</t>
  </si>
  <si>
    <t>PGC Unit Commodity Costs</t>
  </si>
  <si>
    <t>RS,GS,MS PGC Costs</t>
  </si>
  <si>
    <t>RS,GS,MS Unit Demand Costs</t>
  </si>
  <si>
    <t>RS,GS,MS Unit PGC</t>
  </si>
  <si>
    <t>CIS PGC Revenue</t>
  </si>
  <si>
    <t>CIS PGC Cumulative Revenue</t>
  </si>
  <si>
    <t>RS,GS,MS PGC Revenue</t>
  </si>
  <si>
    <t>CIS Mcfs</t>
  </si>
  <si>
    <t>RS,GS,MS PGC Cumulative Revenue</t>
  </si>
  <si>
    <t>RS,GS,MS PGC Cumulative Costs</t>
  </si>
  <si>
    <t>CIS Cumulative PGC Recovery</t>
  </si>
  <si>
    <t>RS,GS,MS Mth Revenue vs Cost</t>
  </si>
  <si>
    <t>RS,GS,MS Cumulative PGC Recovery</t>
  </si>
  <si>
    <t>MTH AVG</t>
  </si>
  <si>
    <t>MDQ</t>
  </si>
  <si>
    <t>DEMAND BY PIPELINE</t>
  </si>
  <si>
    <t>RS UNIT COST</t>
  </si>
  <si>
    <t>RS RATE</t>
  </si>
  <si>
    <t>Total ($M)</t>
  </si>
  <si>
    <t>MMcf</t>
  </si>
  <si>
    <t>$/Mcf</t>
  </si>
  <si>
    <t>Total</t>
  </si>
  <si>
    <t>PGC</t>
  </si>
  <si>
    <t>Non-PGC</t>
  </si>
  <si>
    <t>Factor</t>
  </si>
  <si>
    <t>Loss</t>
  </si>
  <si>
    <t>Gas Cost Summary</t>
  </si>
  <si>
    <t>FSS SALE $</t>
  </si>
  <si>
    <t>FSS SALE DTH</t>
  </si>
  <si>
    <t>FSS SALE $/DTH</t>
  </si>
  <si>
    <t>NYMEX Settlement:</t>
  </si>
  <si>
    <t>PROJECTIONS - INTO PIPELINE DTHS</t>
  </si>
  <si>
    <t>Total Hedge Status</t>
  </si>
  <si>
    <t>PGC Hedge Status</t>
  </si>
  <si>
    <t>DTI (FTNN) - DEMAND</t>
  </si>
  <si>
    <t>DTI (FTNN) - RATE</t>
  </si>
  <si>
    <t>DTI (FTNN) - COST</t>
  </si>
  <si>
    <t xml:space="preserve">DTI (FTNN) - MID- ATLANTIC DEMAND </t>
  </si>
  <si>
    <t>DTI (FTNN) - MID-ATLANTIC RATE</t>
  </si>
  <si>
    <t>DTI (FTNN) - MID-ATLANTIC COST</t>
  </si>
  <si>
    <t>DTI (FTNN - GSS) - DEMAND</t>
  </si>
  <si>
    <t>DTI (FTNN - GSS) - RATE</t>
  </si>
  <si>
    <t>DTI (FTNN - GSS) - COST</t>
  </si>
  <si>
    <t>DTI (FTNN   STORAGE) - DEMAND</t>
  </si>
  <si>
    <t>DTI (FTNN  STORAGE) - RATE</t>
  </si>
  <si>
    <t>DTI (FTNN  STORAGE) - COST</t>
  </si>
  <si>
    <t>DTI (GSS)  - DEMAND</t>
  </si>
  <si>
    <t>DTI (GSS)  - RATE</t>
  </si>
  <si>
    <t>DTI (GSS)  - COST</t>
  </si>
  <si>
    <t>DTI (GSS)  - CAPACITY</t>
  </si>
  <si>
    <t xml:space="preserve">DTI (FTNN STORAGE) - MID- ATLANTIC DEMAND </t>
  </si>
  <si>
    <t>DTI (FTNN STORAGE) - MID-ATLANTIC RATE</t>
  </si>
  <si>
    <t>DTI (FTNN STORAGE) - MID-ATLANTIC COST</t>
  </si>
  <si>
    <t>TOTAL  DTI FT DEMAND</t>
  </si>
  <si>
    <t>DTI</t>
  </si>
  <si>
    <t>DTI TOTAL</t>
  </si>
  <si>
    <t>DELIVERED GAS</t>
  </si>
  <si>
    <t>TRANSCO ZN3 - HEDGE</t>
  </si>
  <si>
    <t>STOI MAX %</t>
  </si>
  <si>
    <t>STOI PLAN %</t>
  </si>
  <si>
    <t>STOI ACTUAL &amp; PLAN</t>
  </si>
  <si>
    <t>STOW PLAN %</t>
  </si>
  <si>
    <t>STOW ACTUAL &amp; PLAN</t>
  </si>
  <si>
    <t>COLUMBIA GAS UDI (FT) - DEMAND</t>
  </si>
  <si>
    <t>COLUMBIA GAS UDI (FT) - RATE</t>
  </si>
  <si>
    <t>COLUMBIA GAS UDI (FT) - COST</t>
  </si>
  <si>
    <t>PGC Commodity Costs (RS,GS,MS,CIS)</t>
  </si>
  <si>
    <t>PGC Commodity Cost Diff</t>
  </si>
  <si>
    <t>Unit Cost Diff</t>
  </si>
  <si>
    <t>Cumulative Cost of Sales</t>
  </si>
  <si>
    <t>Total PGC Revenue (RS,GS,MS,CIS)</t>
  </si>
  <si>
    <t>Total PGC Cumulative Revenue</t>
  </si>
  <si>
    <t>CIS PGC Costs (w/o Demand)</t>
  </si>
  <si>
    <t>Total PGC Costs (w/o CIS Demand)</t>
  </si>
  <si>
    <t>CIS Unit PGC (w/o Demand)</t>
  </si>
  <si>
    <t>CIS PGC Cumulative Costs (w/o Demand)</t>
  </si>
  <si>
    <t>PGC Cumulative Costs (w/o CIS Demand)</t>
  </si>
  <si>
    <t>Total PGC Costs (with CIS Demand)</t>
  </si>
  <si>
    <t>PGC Cumulative Costs (with CIS Demand)</t>
  </si>
  <si>
    <t>CIS Mth PGC Revenue vs Cost</t>
  </si>
  <si>
    <t>Total PGC Revenue vs Cost</t>
  </si>
  <si>
    <t xml:space="preserve">DTI GSS DTH </t>
  </si>
  <si>
    <t>Actual Mcfs and Projected PGC - CIS</t>
  </si>
  <si>
    <t>Actual Mcfs and Projected Mcfs</t>
  </si>
  <si>
    <t>Actual sum and Projected Mcfs</t>
  </si>
  <si>
    <t>Sum</t>
  </si>
  <si>
    <t>Actual from Energy Services FSA, Planned Comd + Demand</t>
  </si>
  <si>
    <t>Total Commodity - Non-PGC Commodity</t>
  </si>
  <si>
    <t>Total Demand - LVS Demand - CIS Demand</t>
  </si>
  <si>
    <t>PGC Unit Commodity + RS,GS,MS Unit Demand</t>
  </si>
  <si>
    <t>(PGC Commodity - CIS Commodity) + RS,GS,MS Demand</t>
  </si>
  <si>
    <t>same as PGC Unit Commodity</t>
  </si>
  <si>
    <t>PGC Unit Commodity Costs $/Mcf</t>
  </si>
  <si>
    <t>RS,GS,MS Unit Demand Costs $/Mcf</t>
  </si>
  <si>
    <t>RS,GS,MS Unit PGC$/Mcf</t>
  </si>
  <si>
    <t>CIS Unit PGC * CIS Mcfs</t>
  </si>
  <si>
    <t>PGC gas + RS,GS,MS demand</t>
  </si>
  <si>
    <t>PGC gas + PGC Demand (incl CIS)</t>
  </si>
  <si>
    <t>Fin Ops</t>
  </si>
  <si>
    <t>Non-PGC Total Mcfs - Hedged Mcfs</t>
  </si>
  <si>
    <t>Non-PGC Hedge Mcf</t>
  </si>
  <si>
    <t>Link to LVS Hedge page</t>
  </si>
  <si>
    <t>Input based on citygate hedge quote</t>
  </si>
  <si>
    <t>Actual FSA Total - Demand, Proj Rec Total Dths*FT Wacog (NYMEX &amp; hedge) and STOW Nov-Mar - COR fuel is weighted average of PGC and non-PGC</t>
  </si>
  <si>
    <t>Actual COR Wacog, Planned FT Gas INDEX WACOG  w non-PGC COR loss</t>
  </si>
  <si>
    <t>FT WACOG $/Dth (@GULF) Hedge &amp; Index</t>
  </si>
  <si>
    <t>FT WACOG $/Dth (@COR CG) Hedge &amp; Index</t>
  </si>
  <si>
    <t>FT WACOG $/Mcf (@BURNER) Hedge &amp; Index</t>
  </si>
  <si>
    <t>COR Wacog  (Mcfs) Index</t>
  </si>
  <si>
    <t>Mth PGC (COR Wacog*Mcfs)</t>
  </si>
  <si>
    <t>Total Commodity Cost of Sales/Total Mcfs (Index, Daily, Hedge, STOW)</t>
  </si>
  <si>
    <t>Non-PGC WACOG $/Mcf - COR WACOG Index only</t>
  </si>
  <si>
    <t>FT WACOG vs Total Commodity Unit Cost</t>
  </si>
  <si>
    <t>PGC Commodity Cost Differnce</t>
  </si>
  <si>
    <t>COL GULF HEDGE</t>
  </si>
  <si>
    <t>Year Report</t>
  </si>
  <si>
    <t>TRANSCO ZN3 - KEEP WHOLE OR SALE</t>
  </si>
  <si>
    <t>CIS Difference</t>
  </si>
  <si>
    <t>FTNN</t>
  </si>
  <si>
    <t>INJECTION</t>
  </si>
  <si>
    <t xml:space="preserve">WITHDRAWAL </t>
  </si>
  <si>
    <t>FTS-1</t>
  </si>
  <si>
    <t>COL  GAS</t>
  </si>
  <si>
    <t>FTS</t>
  </si>
  <si>
    <t>SST - WTH</t>
  </si>
  <si>
    <t>FSSIJ</t>
  </si>
  <si>
    <t>FSSWD</t>
  </si>
  <si>
    <t>COL</t>
  </si>
  <si>
    <t>FT - Zn 1,2,3 to 5</t>
  </si>
  <si>
    <t>MONTHLY TOTAL</t>
  </si>
  <si>
    <t>CUMULATIVE TOTAL</t>
  </si>
  <si>
    <t>DTI FOM INDEX</t>
  </si>
  <si>
    <t>DTI DAILY</t>
  </si>
  <si>
    <t>COL GULF FOM INDEX</t>
  </si>
  <si>
    <t>COL GULF DAILY</t>
  </si>
  <si>
    <t xml:space="preserve">COL GAS FOM INDEX </t>
  </si>
  <si>
    <t>COL GAS DAILY</t>
  </si>
  <si>
    <t>Yr-toYr</t>
  </si>
  <si>
    <t>COL GAS FSS TRANSFER</t>
  </si>
  <si>
    <t>PGC Cumulative Recovery</t>
  </si>
  <si>
    <t>PGC Rate</t>
  </si>
  <si>
    <t>MAX FSS %</t>
  </si>
  <si>
    <t>TRANSCO ZN1 - FOM INDEX</t>
  </si>
  <si>
    <t>TRANSCO ZN2 - FOM INDEX</t>
  </si>
  <si>
    <t>TRANSCO ZN3 - FOM INDEX</t>
  </si>
  <si>
    <t>TOTAL MCFS</t>
  </si>
  <si>
    <t>DAILY MCFS</t>
  </si>
  <si>
    <t>MCF HEDGED PRICE</t>
  </si>
  <si>
    <t>MCF WACOG</t>
  </si>
  <si>
    <t>HEDGE VS WACOG</t>
  </si>
  <si>
    <t>HEDGE VS ACTUAL COSTS</t>
  </si>
  <si>
    <t>DIFFERENCE</t>
  </si>
  <si>
    <t>ESCRIPT DTH</t>
  </si>
  <si>
    <t>TRANSPORT PAGE TOTAL</t>
  </si>
  <si>
    <t>DEMAND PAGE TOTAL</t>
  </si>
  <si>
    <t>GAS,TRANSPORT, &amp; DEMAND TOTAL</t>
  </si>
  <si>
    <t>BP ENERGY INVOICE TOTAL</t>
  </si>
  <si>
    <t>Yr Change</t>
  </si>
  <si>
    <t>ACTUAL MTH DD (ACCUWEATHER)</t>
  </si>
  <si>
    <t>RS,GS,MS PGA Revenue Totals</t>
  </si>
  <si>
    <t>Differences</t>
  </si>
  <si>
    <t>Residental PGA - Fin Ops</t>
  </si>
  <si>
    <t>Commercial PGA - Fin Ops</t>
  </si>
  <si>
    <t>Municipal PGA - Fin Ops</t>
  </si>
  <si>
    <t>CIS PGC Revenue - Fin Ops</t>
  </si>
  <si>
    <t xml:space="preserve">  Flex Gas (cog*flex vols)/PGA - Fin Ops</t>
  </si>
  <si>
    <t xml:space="preserve">     LVS Gas Cost(gwac) - Fin Ops</t>
  </si>
  <si>
    <t xml:space="preserve">     LVS Gas Cost(fwa1) - Fin Ops</t>
  </si>
  <si>
    <t>Flex and LVS Gas Cost Totals</t>
  </si>
  <si>
    <t>CUMULATIVE HEDGE VS ACTUAL COSTS</t>
  </si>
  <si>
    <t>FY YTD</t>
  </si>
  <si>
    <t>Total PGC Revenue</t>
  </si>
  <si>
    <t>Total PGC Revenue - Fin Ops Rev Vol</t>
  </si>
  <si>
    <t>COL GAS (INCLUDES UDI)</t>
  </si>
  <si>
    <t>REVENUE SHARING TO RICHMOND</t>
  </si>
  <si>
    <t>PGC MTH RECOVERY AND CUMULATIVE RECOVERY ($M)</t>
  </si>
  <si>
    <t>Mth Differences</t>
  </si>
  <si>
    <t>Total Revenue</t>
  </si>
  <si>
    <t>Cumulative Revenue</t>
  </si>
  <si>
    <t>Total Revenue vs Total Costs</t>
  </si>
  <si>
    <t>Cumulative Revenue vs Cumulative Costs</t>
  </si>
  <si>
    <t>VNG - RELEASED CAPACITY CREDIT</t>
  </si>
  <si>
    <t>Average Cost of Sales ($/Mcf)</t>
  </si>
  <si>
    <t>NON-PGC</t>
  </si>
  <si>
    <t>BUDGET</t>
  </si>
  <si>
    <t>PGC Storage</t>
  </si>
  <si>
    <t>PGC w/o Hedge and Storage</t>
  </si>
  <si>
    <t>PGC MTH UNIT COST &amp;  RATE ($M)</t>
  </si>
  <si>
    <t>DEMAND</t>
  </si>
  <si>
    <t>COMMODITY</t>
  </si>
  <si>
    <t>PGC Hedge and Storage</t>
  </si>
  <si>
    <t>PGC AND NON-PGC MTH REQUIREMENTS</t>
  </si>
  <si>
    <t>PGC MTH COMMODITY &amp; DEMAND COSTS</t>
  </si>
  <si>
    <t>NON-PGC MTH DEMAND &amp; COMMODITY COSTS</t>
  </si>
  <si>
    <t>PGC COMMODITY</t>
  </si>
  <si>
    <t>PGC DEMAND</t>
  </si>
  <si>
    <t>NON-PGC COMMODITY</t>
  </si>
  <si>
    <t>NON-PGC DEMAND</t>
  </si>
  <si>
    <t xml:space="preserve">COMMODITY </t>
  </si>
  <si>
    <t>TOTAL MTH GAS COSTS</t>
  </si>
  <si>
    <t>PGC MTH AND CUMULATIVE GAS COST RECOVERY ($M)</t>
  </si>
  <si>
    <t>PGC MTH COST &amp; REVENUE ($M)</t>
  </si>
  <si>
    <t>PGC AND NON-PGC MTH COMMODITY &amp; DEMAND GAS COSTS</t>
  </si>
  <si>
    <t>TOTAL MTH COMMODITY &amp; DEMAND GAS COSTS</t>
  </si>
  <si>
    <t>CG DTH PROJECTION VARIANCE</t>
  </si>
  <si>
    <t>PURCH DTH PROJECTION VARIANCE</t>
  </si>
  <si>
    <t>PROJECTED GAS COST VARIANCE</t>
  </si>
  <si>
    <t>PROJECTED CASH REQ</t>
  </si>
  <si>
    <t>REVISED PROJECTED CASH REQ</t>
  </si>
  <si>
    <t>STOI ACTUAL %</t>
  </si>
  <si>
    <t>STOI PLAN</t>
  </si>
  <si>
    <t>STOW PLAN</t>
  </si>
  <si>
    <t>CUML DTH</t>
  </si>
  <si>
    <t>CUML $</t>
  </si>
  <si>
    <t>CUML DTH %</t>
  </si>
  <si>
    <t>DTI TOTAL (INCL TENN AND VNG)</t>
  </si>
  <si>
    <t>COLUMBIA TOTAL (INCL TRANSCO AND UDI)</t>
  </si>
  <si>
    <t>HEDGED TOTAL %</t>
  </si>
  <si>
    <t>DTI SWING</t>
  </si>
  <si>
    <t>DTI SWING %</t>
  </si>
  <si>
    <t>COL SWING</t>
  </si>
  <si>
    <t>COL SWING %</t>
  </si>
  <si>
    <t>100% LF Unit</t>
  </si>
  <si>
    <t>70% LF Unit</t>
  </si>
  <si>
    <t>55% LF Unit</t>
  </si>
  <si>
    <t>RS</t>
  </si>
  <si>
    <t>40% LF Unit</t>
  </si>
  <si>
    <t>PGC MTH ACTUAL</t>
  </si>
  <si>
    <t>PGC MTH NRMLZD</t>
  </si>
  <si>
    <t>PGC MTH PROJECTED</t>
  </si>
  <si>
    <t>Cumulative Total Cost of Sales</t>
  </si>
  <si>
    <t xml:space="preserve">CIS Commodity Costs </t>
  </si>
  <si>
    <t>CIS Unit Commodity Costs $/Mcf</t>
  </si>
  <si>
    <t xml:space="preserve">CIS Cumulative Commodity Costs </t>
  </si>
  <si>
    <t>Cumulative PGC Recovery % of Total PGC Costs (w/o CIS Demand)</t>
  </si>
  <si>
    <t>RS,GS,MS Average Unit Demand Cost</t>
  </si>
  <si>
    <t>RS,GS,MS Average Unit Demand Cost + PGC Unit Commodity Costs $/Mcf</t>
  </si>
  <si>
    <t>PGC UNIT COST</t>
  </si>
  <si>
    <t>PGC RATE</t>
  </si>
  <si>
    <t xml:space="preserve">PGC UNIT COST (W/ AVG UNIT DEMAND) </t>
  </si>
  <si>
    <t>Columbia and Transco at COR $/Mcf</t>
  </si>
  <si>
    <t>vs WACOG</t>
  </si>
  <si>
    <t>Non-PGC - COR Wacog $/Mcf Index only (COR L&amp;U 2.5%)</t>
  </si>
  <si>
    <t>FT GAS Wacog vs Total Commodity Unit Cost $/Mcf</t>
  </si>
  <si>
    <t>FT GAS Wacog $/Dth (@GULF) NYMEX Settlement &amp; Hedge</t>
  </si>
  <si>
    <t>FT GAS Wacog $/Dth (@COR CG) NYMEX Settlement &amp; Hedge</t>
  </si>
  <si>
    <t>FT GAS Wacog $/Mcf (@BURNER) NYMEX Settlement &amp; Hedge</t>
  </si>
  <si>
    <t>DTI%</t>
  </si>
  <si>
    <t>COLUMBIA%</t>
  </si>
  <si>
    <t>TRANSCO%</t>
  </si>
  <si>
    <t>TOTAL%</t>
  </si>
  <si>
    <t>COLUMBIA DTH</t>
  </si>
  <si>
    <t>TRANSCO DTH</t>
  </si>
  <si>
    <t>DTI DTH</t>
  </si>
  <si>
    <t>INDEX TOTAL %</t>
  </si>
  <si>
    <t xml:space="preserve">MONTHLY INDEX TOTAL </t>
  </si>
  <si>
    <t>DAILY INDEX TOTAL</t>
  </si>
  <si>
    <t>FIRM TRANSPORTATION - DEMAND</t>
  </si>
  <si>
    <t>TOTAL FT DEMAND COSTS</t>
  </si>
  <si>
    <t>STORAGE TRANSPORTATION - DEMAND</t>
  </si>
  <si>
    <t>TOTAL PURCH DTHS</t>
  </si>
  <si>
    <t>PURCH DTHS DETAIL</t>
  </si>
  <si>
    <t>PGC MTH MCF DIFF</t>
  </si>
  <si>
    <t>PGC NRMLZD MTH MCF DIFF</t>
  </si>
  <si>
    <t>PGC NRMLZD MTH MCF %DIFF</t>
  </si>
  <si>
    <t>PGC MTH MCF %DIFF</t>
  </si>
  <si>
    <t>PGC MTH DTH INTO PIPELINE</t>
  </si>
  <si>
    <t>PGC CUML DTH INTO PIPELINE</t>
  </si>
  <si>
    <t>NON-PGC MTH DTH INTO PIPELINE</t>
  </si>
  <si>
    <t>NON-PGC CUML DTH INTO PIPELINE</t>
  </si>
  <si>
    <t>PGC MTH DTH AT COR</t>
  </si>
  <si>
    <t>NON-PGC MTH DTH AT COR</t>
  </si>
  <si>
    <t>CIS MTH MCF</t>
  </si>
  <si>
    <t>PGC MTH MCF</t>
  </si>
  <si>
    <t>PGC MTH MCF GROWTH</t>
  </si>
  <si>
    <t>PGC MTH MCF W/GROWTH</t>
  </si>
  <si>
    <t>MTH TOTAL DTH AT COR</t>
  </si>
  <si>
    <t>MTH DD DIFF</t>
  </si>
  <si>
    <t>% MTH DD DIFF</t>
  </si>
  <si>
    <t>MTH TOTAL DTH INTO PIPELINE</t>
  </si>
  <si>
    <t>CUML TOTAL DTH INTO PIPELINE</t>
  </si>
  <si>
    <t>LVS MTH MCF</t>
  </si>
  <si>
    <t>MTH TOTAL MCF</t>
  </si>
  <si>
    <t>PGC NRMLZD MTH MCF</t>
  </si>
  <si>
    <t>LVS MTH MCF DIFF</t>
  </si>
  <si>
    <t>LVS MTH MCF %DIFF</t>
  </si>
  <si>
    <t>NON-PGC MTH MCF DIFF</t>
  </si>
  <si>
    <t>NON-PGC MTH MCF %DIFF</t>
  </si>
  <si>
    <t>TOTAL MTH MCF DIFF</t>
  </si>
  <si>
    <t>TOTAL MTH MCF %DIFF</t>
  </si>
  <si>
    <t>COP COLUMBIA BASELOAD DTH @ COR</t>
  </si>
  <si>
    <t>COLUMBIA DTH TOTAL</t>
  </si>
  <si>
    <t>COP TRANSCO BASELOAD DTH @ COR VIA EMPORIA</t>
  </si>
  <si>
    <t>BP DTI BASELOAD DTH @ COR</t>
  </si>
  <si>
    <t>BP DTI GSS BASELOAD DTH @ COR</t>
  </si>
  <si>
    <t>BP DTI SWING DTH @ COR</t>
  </si>
  <si>
    <t>DTI DTH TOTAL</t>
  </si>
  <si>
    <t>TOTAL DTH @ COR</t>
  </si>
  <si>
    <t>COLUMBIA TOTAL DTH INTO CGT</t>
  </si>
  <si>
    <t>TRANSCO TOTAL DTH INTO TGPL ZN3</t>
  </si>
  <si>
    <t>DTI TOTAL DTH INTO DTI SP</t>
  </si>
  <si>
    <t xml:space="preserve">FT GAS MTH DTH (PROJ REQS+STOI APR-OCT, PROJ REQS-STOW NOV-MAR) </t>
  </si>
  <si>
    <t>CONOCOPHILLIPS $</t>
  </si>
  <si>
    <t>CONOCOPHILLIPS DTH</t>
  </si>
  <si>
    <t>PURCH DTHS VS FT GAS MTH DTH</t>
  </si>
  <si>
    <t>FT GAS - DTI SP BASIS</t>
  </si>
  <si>
    <t>FT GAS - DTI SP BASIS COST</t>
  </si>
  <si>
    <t>Monthly Cost of Sales Budgeted</t>
  </si>
  <si>
    <t>Total Projected Commodity Costs (Storage injections not expensed)</t>
  </si>
  <si>
    <t>Total Projected Costs (Storage injections not expensed) - Cash Reqs</t>
  </si>
  <si>
    <t>Total Actual Costs (Storage injections not expensed) - Cash Reqs</t>
  </si>
  <si>
    <t>FT GAS - DTI SP DTH</t>
  </si>
  <si>
    <t>09 SUM INJ</t>
  </si>
  <si>
    <t>FSA CUML COR$</t>
  </si>
  <si>
    <t>FSA FSS COR WACOG</t>
  </si>
  <si>
    <t>FSA CUML COR DTH</t>
  </si>
  <si>
    <t>CUML DTH VS FSA CUML DTH</t>
  </si>
  <si>
    <t>CUML$ VS FSA CUML$</t>
  </si>
  <si>
    <t>FSS WACOG VS FSA FSS WACOG</t>
  </si>
  <si>
    <t>FSA STOR WACOG</t>
  </si>
  <si>
    <t>STOW TRANSFER</t>
  </si>
  <si>
    <t>STOW TRANSFER $/DTH</t>
  </si>
  <si>
    <t>STOW TRANSFER $</t>
  </si>
  <si>
    <t>STOR WACOG</t>
  </si>
  <si>
    <t>Cumulative PGC Recovery % of Total PGC Costs (w/o CIS Demand) Change</t>
  </si>
  <si>
    <t>RS,GS,MS PGC Rate % Change</t>
  </si>
  <si>
    <t>Non-PGC Hedge Status</t>
  </si>
  <si>
    <t>% DIFFERENCE</t>
  </si>
  <si>
    <t>FSA CUML DTH</t>
  </si>
  <si>
    <t>FSA CUML $</t>
  </si>
  <si>
    <t>NYMEX</t>
  </si>
  <si>
    <t>HEDGE VS INDEX</t>
  </si>
  <si>
    <t>HEDGE COST</t>
  </si>
  <si>
    <t>STORAGE VS INDEX</t>
  </si>
  <si>
    <t>STORAGE VS INDEX COSTS</t>
  </si>
  <si>
    <t>DTI - HENRICO LATERAL O&amp;M</t>
  </si>
  <si>
    <t>CUML DTH DIFF</t>
  </si>
  <si>
    <t>CUML $ DIFF</t>
  </si>
  <si>
    <t>DEMAND COSTS</t>
  </si>
  <si>
    <t>DEMAND REVENUE ($1.50/MCF)</t>
  </si>
  <si>
    <t>DEMAND COSTS VS REVENUES ($1.50/MCF)</t>
  </si>
  <si>
    <t>Apr-Oct</t>
  </si>
  <si>
    <t>Nov-Mar</t>
  </si>
  <si>
    <t>Monthly PGC Recovery</t>
  </si>
  <si>
    <t>APPALACHIAN (DTI SP)</t>
  </si>
  <si>
    <t>STORAGE INJECTIONS</t>
  </si>
  <si>
    <t>STORAGE WITHDRAWALS</t>
  </si>
  <si>
    <t>MONTHLY INDEX TOTAL  LESS STORAGE INJECTIONS</t>
  </si>
  <si>
    <t>STORAGE WITHRAWALS</t>
  </si>
  <si>
    <t>PGC Hedges</t>
  </si>
  <si>
    <t>Hedge vs</t>
  </si>
  <si>
    <t>Hedge Dates</t>
  </si>
  <si>
    <t>Delivery Months</t>
  </si>
  <si>
    <t>Type</t>
  </si>
  <si>
    <t>Dth/Day</t>
  </si>
  <si>
    <t>Total Dths</t>
  </si>
  <si>
    <t>Hedge $/Dth</t>
  </si>
  <si>
    <t>NYMEX or Index</t>
  </si>
  <si>
    <t>Total $</t>
  </si>
  <si>
    <t>Storage vs</t>
  </si>
  <si>
    <t>Storage Dths</t>
  </si>
  <si>
    <t>Storage WACOG</t>
  </si>
  <si>
    <t>Hedge &amp; Storage vs</t>
  </si>
  <si>
    <t>Hedge &amp; Storage Dths</t>
  </si>
  <si>
    <t>Hedge &amp; Storage WACOG</t>
  </si>
  <si>
    <t>RS MTH MCF</t>
  </si>
  <si>
    <t>RS MTH MCF GROWTH</t>
  </si>
  <si>
    <t>GS MTH MCF</t>
  </si>
  <si>
    <t>MS MTH MCF</t>
  </si>
  <si>
    <t>RS MTH MCF W/GROWTH</t>
  </si>
  <si>
    <t>GS MTH MCF W/GROWTH</t>
  </si>
  <si>
    <t>GS MTH MCF GROWTH</t>
  </si>
  <si>
    <t>FLEX MTH MCF - IAA</t>
  </si>
  <si>
    <t>FLEX MTH MCF - MODEL</t>
  </si>
  <si>
    <t>LVS MTH MCF - IAA</t>
  </si>
  <si>
    <t>LVS MTH MCF - MODEL</t>
  </si>
  <si>
    <t>NON-PGC MTH MCF - IAA</t>
  </si>
  <si>
    <t>NON-PGC MTH MCF - MODEL</t>
  </si>
  <si>
    <t>RS NRMLZD MTH MCF</t>
  </si>
  <si>
    <t>GS NRMLZD MTH MCF</t>
  </si>
  <si>
    <t>MS NRMLZD MTH MCF</t>
  </si>
  <si>
    <t>CIS NRMLZD MTH MCF</t>
  </si>
  <si>
    <t>LVS NRMLZD MTH MCF</t>
  </si>
  <si>
    <t xml:space="preserve">NON-PGC MTH MCF </t>
  </si>
  <si>
    <t>NON-PGC NRMLZD MTH MCF</t>
  </si>
  <si>
    <t>RS MTH MCF DIFF</t>
  </si>
  <si>
    <t>RS MTH MCF %DIFF</t>
  </si>
  <si>
    <t>RS NRMLZD MTH MCF DIFF</t>
  </si>
  <si>
    <t>RS NRMLZD MTH MCF %DIFF</t>
  </si>
  <si>
    <t>ACTUALS VS PROJECTIONS</t>
  </si>
  <si>
    <t>GS MTH MCF DIFF</t>
  </si>
  <si>
    <t>GS MTH MCF %DIFF</t>
  </si>
  <si>
    <t>GS NRMLZD MTH MCF DIFF</t>
  </si>
  <si>
    <t>GS NRMLZD MTH MCF %DIFF</t>
  </si>
  <si>
    <t>CIS MTH MCF DIFF</t>
  </si>
  <si>
    <t>CIS MTH MCF %DIFF</t>
  </si>
  <si>
    <t>CIS NRMLZD MTH MCF DIFF</t>
  </si>
  <si>
    <t>CIS NRMLZD MTH MCF %DIFF</t>
  </si>
  <si>
    <t>MS MTH MCF DIFF</t>
  </si>
  <si>
    <t>MS MTH MCF %DIFF</t>
  </si>
  <si>
    <t>MS NRMLZD MTH MCF DIFF</t>
  </si>
  <si>
    <t>MS NRMLZD MTH MCF %DIFF</t>
  </si>
  <si>
    <t>NORMAL MTH DD (PROJECTED)</t>
  </si>
  <si>
    <t>LVS NRMLZD MTH MCF DIFF</t>
  </si>
  <si>
    <t>LVS NRMLZD MTH MCF %DIFF</t>
  </si>
  <si>
    <t>NON-PGC NRMLZD MTH MCF DIFF</t>
  </si>
  <si>
    <t>NON-PGC NRMLZD MTH MCF %DIFF</t>
  </si>
  <si>
    <t>NRMLZD MTH MCF</t>
  </si>
  <si>
    <t>MTH ACTUALS VS PROJECTIONS</t>
  </si>
  <si>
    <t>MTH ACTUALS VS PROJECTIONS %</t>
  </si>
  <si>
    <t>CG DTHS-TS ACTUALS</t>
  </si>
  <si>
    <t>PGC UNIT COMMODITY COST</t>
  </si>
  <si>
    <t>PGC UNIT DEMAND COST</t>
  </si>
  <si>
    <t>PGC MTH UNIT COSTS &amp;  RATES ($M)</t>
  </si>
  <si>
    <t>PGC MTH SALES - ACTUAL VS PROJECTED</t>
  </si>
  <si>
    <t>PGC CUML SALES VARIANCES</t>
  </si>
  <si>
    <t>RS MTH SALES - ACTUAL VS PROJECTED</t>
  </si>
  <si>
    <t>RS MTH PROJECTED</t>
  </si>
  <si>
    <t>RS MTH ACTUAL</t>
  </si>
  <si>
    <t>RS MTH NRMLZD</t>
  </si>
  <si>
    <t>GS MTH SALES - ACTUAL VS PROJECTED</t>
  </si>
  <si>
    <t>GS MTH PROJECTED</t>
  </si>
  <si>
    <t>GS MTH ACTUAL</t>
  </si>
  <si>
    <t>GS MTH NRMLZD</t>
  </si>
  <si>
    <t>CIS MTH SALES - ACTUAL VS PROJECTED</t>
  </si>
  <si>
    <t>CIS MTH PROJECTED</t>
  </si>
  <si>
    <t>CIS MTH ACTUAL</t>
  </si>
  <si>
    <t>CIS MTH NRMLZD</t>
  </si>
  <si>
    <t>MS MTH SALES - ACTUAL VS PROJECTED</t>
  </si>
  <si>
    <t>MS MTH PROJECTED</t>
  </si>
  <si>
    <t>MS MTH ACTUAL</t>
  </si>
  <si>
    <t>MS MTH NRMLZD</t>
  </si>
  <si>
    <t>FS MTH MCF</t>
  </si>
  <si>
    <t>FS NRMLZD MTH MCF</t>
  </si>
  <si>
    <t>FS MTH MCF DIFF</t>
  </si>
  <si>
    <t>FS MTH MCF %DIFF</t>
  </si>
  <si>
    <t>FS NRMLZD MTH MCF DIFF</t>
  </si>
  <si>
    <t>FS NRMLZD MTH MCF %DIFF</t>
  </si>
  <si>
    <t>FS MTH SALES - ACTUAL VS PROJECTED</t>
  </si>
  <si>
    <t>FS MTH PROJECTED</t>
  </si>
  <si>
    <t>FS MTH ACTUAL</t>
  </si>
  <si>
    <t>FS MTH NRMLZD</t>
  </si>
  <si>
    <t>LVS MTH SALES - ACTUAL VS PROJECTED</t>
  </si>
  <si>
    <t>LVS MTH PROJECTED</t>
  </si>
  <si>
    <t>LVS MTH ACTUAL</t>
  </si>
  <si>
    <t>LVS MTH NRMLZD</t>
  </si>
  <si>
    <t>NON-PGC SALES - ACTUAL VS PROJECTED</t>
  </si>
  <si>
    <t>NON-PGC MTH PROJECTED</t>
  </si>
  <si>
    <t>NON-PGC MTH ACTUAL</t>
  </si>
  <si>
    <t>NON-PGC MTH NRMLZD</t>
  </si>
  <si>
    <t>TOTAL SALES - ACTUAL VS PROJECTED</t>
  </si>
  <si>
    <t>TOTAL MTH PROJECTED</t>
  </si>
  <si>
    <t>TOTAL MTH ACTUAL</t>
  </si>
  <si>
    <t>TOTAL MTH NRMLZD</t>
  </si>
  <si>
    <t>Current Rates</t>
  </si>
  <si>
    <t>TOTAL MTH MCF</t>
  </si>
  <si>
    <t>DTI HEDGE</t>
  </si>
  <si>
    <t>RS &amp; GS COUNT</t>
  </si>
  <si>
    <t>TOTAL NRMLZD MTH MCF DIFF</t>
  </si>
  <si>
    <t>TOTAL NRMLZD MTH MCF %DIFF</t>
  </si>
  <si>
    <t>DAILY INDEX TOTAL %</t>
  </si>
  <si>
    <t xml:space="preserve">DTI SWING VS FOM </t>
  </si>
  <si>
    <t xml:space="preserve">COL SWING VS FOM </t>
  </si>
  <si>
    <t>YR$/CUSTOMER</t>
  </si>
  <si>
    <t>MTH$/CUSTOMER</t>
  </si>
  <si>
    <t>RS,GS,MS Demand Revenue ($1.48/Mcf)</t>
  </si>
  <si>
    <t>RS,GS,MS Average Unit Demand Cost - Projected</t>
  </si>
  <si>
    <t>RS,GS,MS Demand Revenue ($1.50/Mcf) - Projected</t>
  </si>
  <si>
    <t>RS,GS,MS Mcfs - Projected</t>
  </si>
  <si>
    <t>RS,GS,MS Mcfs - Actual</t>
  </si>
  <si>
    <t>RS,GS,MS Mcfs - Actual vs Projected</t>
  </si>
  <si>
    <t>vs Prior FY</t>
  </si>
  <si>
    <t>RS,GS,MS Demand Revenue ($1.44/Mcf) - Projected</t>
  </si>
  <si>
    <t>RS,GS,MS  - Actual vs Projected Demand Revenue</t>
  </si>
  <si>
    <t>RS,GS,MS  - Actual vs Projected Cumlative Demand Revenue</t>
  </si>
  <si>
    <t>Non-PGC Demand Costs (LVS)</t>
  </si>
  <si>
    <t xml:space="preserve">DEMAND </t>
  </si>
  <si>
    <t>LVS UNIT DEMAND &amp; COMMODITY</t>
  </si>
  <si>
    <t>UNIT DEMAND</t>
  </si>
  <si>
    <t>UNIT COMMODITY COST</t>
  </si>
  <si>
    <t>UNIT DEMAND COST</t>
  </si>
  <si>
    <t>UNIT COST</t>
  </si>
  <si>
    <t>PROJ AVG UNIT DEMAND COST</t>
  </si>
  <si>
    <t>COSTS VS REVENUE</t>
  </si>
  <si>
    <t>DAILY INDEX VS MONTHLY INDEX</t>
  </si>
  <si>
    <t>DAILY INDEX VS MONTHLY INDEX COSTS</t>
  </si>
  <si>
    <t>YTD Revenue</t>
  </si>
  <si>
    <t>YTD Revenue vs YTD Costs</t>
  </si>
  <si>
    <t>RS,GS,MS PGC YTD Costs</t>
  </si>
  <si>
    <t xml:space="preserve">CIS YTD Commodity Costs </t>
  </si>
  <si>
    <t>PGC YTD Costs (w/o CIS Demand)</t>
  </si>
  <si>
    <t>PGC YTD Costs (with CIS Demand)</t>
  </si>
  <si>
    <t>RS,GS,MS PGC YTD Revenue</t>
  </si>
  <si>
    <t>RS,GS,MS YTD PGC Recovery</t>
  </si>
  <si>
    <t>CIS PGC YTD Revenue</t>
  </si>
  <si>
    <t>CIS YTD PGC Recovery</t>
  </si>
  <si>
    <t>Total PGC YTD Revenue</t>
  </si>
  <si>
    <t>YTD PGC Revenue</t>
  </si>
  <si>
    <t>YTD PGC Revenue - Fin Ops Rev Vol</t>
  </si>
  <si>
    <t>YTD Differences</t>
  </si>
  <si>
    <t>YTD DEMAND COSTS VS REVENUES ($1.50/MCF)</t>
  </si>
  <si>
    <t>PGC YTD GAS COST &amp; REVENUES ($M)</t>
  </si>
  <si>
    <t>PGC YTD COST &amp; REVENUES ($M)</t>
  </si>
  <si>
    <t>YTD NORMAL DD</t>
  </si>
  <si>
    <t>YTD ACTUAL  DD</t>
  </si>
  <si>
    <t>YTD DD DIFF</t>
  </si>
  <si>
    <t>% YTD DD DIFF</t>
  </si>
  <si>
    <t>YTD PGC DTH INTO PIPELINE</t>
  </si>
  <si>
    <t>YTD NON-PGC DTH INTO PIPELINE</t>
  </si>
  <si>
    <t>YTD TOTAL DTH INTO PIPELINE</t>
  </si>
  <si>
    <t>YTD PGC DTH AT COR</t>
  </si>
  <si>
    <t>YTD NON-PGC DTH AT COR</t>
  </si>
  <si>
    <t>YTD TOTAL DTH AT COR</t>
  </si>
  <si>
    <t>YTD CG DTHS-TS ACTUALS</t>
  </si>
  <si>
    <t>YTD ACTUALS VS PROJECTIONS</t>
  </si>
  <si>
    <t>YTD ACTUALS VS PROJECTIONS %</t>
  </si>
  <si>
    <t>YTD RS MTH MCF W/GROWTH</t>
  </si>
  <si>
    <t>YTD GS MTH MCF W/GROWTH</t>
  </si>
  <si>
    <t>YTD CIS MTH MCF</t>
  </si>
  <si>
    <t>YTD MS MTH MCF</t>
  </si>
  <si>
    <t>YTD PGC MTH MCF W/GROWTH</t>
  </si>
  <si>
    <t xml:space="preserve">YTD FLEX MTH MCF - IAA </t>
  </si>
  <si>
    <t>YTD FLEX MTH MCF - MODEL</t>
  </si>
  <si>
    <t>YTD LVS MCF - IAA</t>
  </si>
  <si>
    <t>YTD LVS MTH MCF - MODEL</t>
  </si>
  <si>
    <t>YTD NON-PGC MTH MCF - IAA</t>
  </si>
  <si>
    <t>YTD NON-PGC MTH MCF - MODEL</t>
  </si>
  <si>
    <t>YTD TOTAL MCF</t>
  </si>
  <si>
    <t>YTD RS MTH MCF</t>
  </si>
  <si>
    <t>YTD RS NRMLZD MTH MCF</t>
  </si>
  <si>
    <t>YTD GS MTH MCF</t>
  </si>
  <si>
    <t>YTDL GS NRMLZD MTH MCF</t>
  </si>
  <si>
    <t>YTD CIS NRMLZD MTH MCF</t>
  </si>
  <si>
    <t>YTD MS NRMLZD MTH MCF</t>
  </si>
  <si>
    <t>YTD PGC MTH MCF</t>
  </si>
  <si>
    <t>YTD PGC NRMLZD MTH MCF</t>
  </si>
  <si>
    <t>YTD FS MTH MCF</t>
  </si>
  <si>
    <t>YTD FLEX NRMLZD MTH MCF</t>
  </si>
  <si>
    <t>YTD LVS MTH MCF</t>
  </si>
  <si>
    <t>YTD LVS NRMLZD MTH MCF</t>
  </si>
  <si>
    <t>YTD NON-PGC MTH MCF</t>
  </si>
  <si>
    <t>YTD NON-PGC NRMLZD MTH MCF</t>
  </si>
  <si>
    <t>YTD MTH MCF</t>
  </si>
  <si>
    <t>RS YTD MCF DIFF</t>
  </si>
  <si>
    <t>RS YTD %DIFF</t>
  </si>
  <si>
    <t>RS NRMLZD YTD MCF DIFF</t>
  </si>
  <si>
    <t>RS NRMLZD YTD MCF %DIFF</t>
  </si>
  <si>
    <t>GS YTD MCF DIFF</t>
  </si>
  <si>
    <t>GS YTD MCF %DIFF</t>
  </si>
  <si>
    <t>GS NRMLZD YTD MCF DIFF</t>
  </si>
  <si>
    <t>GS NRMLZD YTD MCF %DIFF</t>
  </si>
  <si>
    <t>CIS YTD MCF DIFF</t>
  </si>
  <si>
    <t>CIS YTD MCF %DIFF</t>
  </si>
  <si>
    <t>CIS NRMLZD YTD MCF DIFF</t>
  </si>
  <si>
    <t>CIS NRMLZD YTD MCF %DIFF</t>
  </si>
  <si>
    <t>MS YTD MCF DIFF</t>
  </si>
  <si>
    <t>MS YTD MCF %DIFF</t>
  </si>
  <si>
    <t>MS NRMLZD YTD MCF DIFF</t>
  </si>
  <si>
    <t>MS NRMLZD YTD MCF %DIFF</t>
  </si>
  <si>
    <t>PGC YTD MCF DIFF</t>
  </si>
  <si>
    <t>PGC YTD MCF %DIFF</t>
  </si>
  <si>
    <t>PGC NRMLZD YTD MCF DIFF</t>
  </si>
  <si>
    <t>PGC NRMLZD YTD MCF %DIFF</t>
  </si>
  <si>
    <t>FS YTD MCF DIFF</t>
  </si>
  <si>
    <t>FS YTD MCF %DIFF</t>
  </si>
  <si>
    <t>FS NRMLZD YTD MCF DIFF</t>
  </si>
  <si>
    <t>FS NRMLZD YTD MCF %DIFF</t>
  </si>
  <si>
    <t>LVS YTD MCF DIFF</t>
  </si>
  <si>
    <t>LVS YTD MCF %DIFF</t>
  </si>
  <si>
    <t>LVS NRMLZD YTD MCF DIFF</t>
  </si>
  <si>
    <t>LVS NRMLZD YTD MCF %DIFF</t>
  </si>
  <si>
    <t>NON-PGC YTD MCF DIFF</t>
  </si>
  <si>
    <t>NON-PGC YTD MCF %DIFF</t>
  </si>
  <si>
    <t>NON-PGC NRMLZD YTD MCF DIFF</t>
  </si>
  <si>
    <t>NON-PGC NRMLZD YTD MCF %DIFF</t>
  </si>
  <si>
    <t>TOTAL YTD MCF DIFF</t>
  </si>
  <si>
    <t>TOTAL YTD MCF %DIFF</t>
  </si>
  <si>
    <t>TOTAL NRMLZD YTD MCF DIFF</t>
  </si>
  <si>
    <t>TOTAL NRMLZD YTD MCF %DIFF</t>
  </si>
  <si>
    <t>NRMLZD YTD MTH MCF</t>
  </si>
  <si>
    <t>GS</t>
  </si>
  <si>
    <t>MS</t>
  </si>
  <si>
    <t>FS</t>
  </si>
  <si>
    <t>PGC%</t>
  </si>
  <si>
    <t>NON-PGC%</t>
  </si>
  <si>
    <t>MTH SALES PROJECTIONS BY RATE</t>
  </si>
  <si>
    <t>AVG DAILY SALES PROJECTIONS BY RATE</t>
  </si>
  <si>
    <t>BASE PRE-PAY</t>
  </si>
  <si>
    <t>PGC BASE</t>
  </si>
  <si>
    <t>LVS BASE</t>
  </si>
  <si>
    <t>REMAINDER</t>
  </si>
  <si>
    <t>% of PGC Costs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</si>
  <si>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</si>
  <si>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</si>
  <si>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</si>
  <si>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</si>
  <si>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</si>
  <si>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</si>
  <si>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</si>
  <si>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</si>
  <si>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</si>
  <si>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</si>
  <si>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</si>
  <si>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</si>
  <si>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LVS &amp; FS</t>
  </si>
  <si>
    <t>FT GAS - HEDGE WACOG</t>
  </si>
  <si>
    <t>12 MTH MOVING AVG BTU</t>
  </si>
  <si>
    <t>RS SALES PER HOUSE</t>
  </si>
  <si>
    <t>EIA</t>
  </si>
  <si>
    <t>EIA vs NYMEX</t>
  </si>
  <si>
    <t>FSA GSS COR WACOG</t>
  </si>
  <si>
    <t>GSS WACOG VS FSA GSS WACOG</t>
  </si>
  <si>
    <t>MMDth</t>
  </si>
  <si>
    <t>$/Dth</t>
  </si>
  <si>
    <t>$M</t>
  </si>
  <si>
    <t>HEDGED DTHS</t>
  </si>
  <si>
    <t>HEDGED MCFS</t>
  </si>
  <si>
    <t>MCF DIFFERENCE</t>
  </si>
  <si>
    <t>COL GULF SALE BACK</t>
  </si>
  <si>
    <t>DTI SELL BACK</t>
  </si>
  <si>
    <t>COL GAS SELL BACK</t>
  </si>
  <si>
    <t>10-11</t>
  </si>
  <si>
    <t>1011 TOTALS</t>
  </si>
  <si>
    <t>10 SUM INJ</t>
  </si>
  <si>
    <t>11 SUM INJ</t>
  </si>
  <si>
    <t>1011</t>
  </si>
  <si>
    <t>% DIFF</t>
  </si>
  <si>
    <t>COLUMBIA BASELOAD DTH @ COR</t>
  </si>
  <si>
    <t>COLUMBIA SWING DTH @ COR</t>
  </si>
  <si>
    <t>TRANSCO BASELOAD DTH @ COR VIA EMPORIA</t>
  </si>
  <si>
    <t>DTI BASELOAD DTH @ COR</t>
  </si>
  <si>
    <t>DTI GSS BASELOAD DTH @ COR</t>
  </si>
  <si>
    <t>DTI SWING DTH @ COR</t>
  </si>
  <si>
    <t>vs 0910</t>
  </si>
  <si>
    <t>MTH PURCH REQ %</t>
  </si>
  <si>
    <t>%PGC Reqs</t>
  </si>
  <si>
    <t>NYMEX + BASIS</t>
  </si>
  <si>
    <t>PGC Storage (75% Planned Use)</t>
  </si>
  <si>
    <t>HURRICANE</t>
  </si>
  <si>
    <t>FT GAS - MGAG PREPAY MTH DTH - COLUMBIA</t>
  </si>
  <si>
    <t>FT GAS - MGAG PREPAY DTH/DAY - COLUMBIA</t>
  </si>
  <si>
    <t>FT GAS - MGAG PREPAY COST - COLUMBIA</t>
  </si>
  <si>
    <t>FT GAS - MGAG PREPAY $/DTH - COLUMBIA</t>
  </si>
  <si>
    <t>FT GAS - PREPAY,HEDGE &amp; INDEX WACOG</t>
  </si>
  <si>
    <t>HEDGE POLICY LIMITS - PGC CITY GATE DTHS/DAY</t>
  </si>
  <si>
    <t>HEDGE POLICY LIMITS - PGC STORAGE INJECTIONS DTHS/DAY</t>
  </si>
  <si>
    <t>HEDGE POLICY LIMITS - NON-PGC CITY GATE DTHS/DAY</t>
  </si>
  <si>
    <t>HEDGE POLICY LIMITS - TOTAL DTHS/DAY</t>
  </si>
  <si>
    <t>HEDGE POLICY LIMITS - PGC CITY GATE MTH DTH</t>
  </si>
  <si>
    <t>HEDGE POLICY LIMITS - PGC STORAGE INJECTIONS MTH DTH</t>
  </si>
  <si>
    <t>HEDGE POLICY LIMITS - NON-PGC CITY GATE MTH DTH</t>
  </si>
  <si>
    <t>HEDGE POLICY LIMITS - TOTAL CITY GATE MTH DTH</t>
  </si>
  <si>
    <t>Prepayment Discounts</t>
  </si>
  <si>
    <t>COLUMBIA INVOICE</t>
  </si>
  <si>
    <t>COLUMBIA INVOICE - SEPARATED BY CONTRACT</t>
  </si>
  <si>
    <t>FT GAS - COSTLESS COLLAR PGC HEDGE MTH DTH - DTI</t>
  </si>
  <si>
    <t>FT GAS - COSTLESS COLLAR PGC HEDGE DTH/DAY - DTI</t>
  </si>
  <si>
    <t>FT GAS - COSTLESS COLLAR PGC COST - DTI</t>
  </si>
  <si>
    <t>FT GAS - COSTLESS COLLAR PGC $/DTH - DTI</t>
  </si>
  <si>
    <t>FT GAS - FIXED PRICE PGC HEDGE MTH DTH - COLUMBIA</t>
  </si>
  <si>
    <t>FT GAS - FIXED PRICE PGC HEDGE DTH/DAY - COLUMBIA</t>
  </si>
  <si>
    <t>FT GAS - FIXED PRICE PGC HEDGE COST - COLUMBIA</t>
  </si>
  <si>
    <t>FT GAS - FIXED PRICE PGC HEDGE $/DTH - COLUMBIA</t>
  </si>
  <si>
    <t>FT GAS - FIXED PRICE PGC HEDGE MTH DTH - DTI</t>
  </si>
  <si>
    <t>FT GAS - FIXED PRICE PGC HEDGE DTH/DAY - DTI</t>
  </si>
  <si>
    <t>FT GAS - FIXED PRICE PGC HEDGE COST - DTI</t>
  </si>
  <si>
    <t>FT GAS - FIXED PRICE PGC HEDGE $/DTH - DTI</t>
  </si>
  <si>
    <t>FT GAS - FIXED PRICE NON-PGC HEDGE MTH DTH - COLUMBIA</t>
  </si>
  <si>
    <t>FT GAS - FIXED PRICE NON-PGC HEDGE DTH/DAY - COLUMBIA</t>
  </si>
  <si>
    <t>FT GAS - FIXED PRICE NON-PGC HEDGE COST - COLUMBIA</t>
  </si>
  <si>
    <t>FT GAS - FIXED PRICE NON-PGC HEDGE $/DTH - COLUMBIA</t>
  </si>
  <si>
    <t>HEDGED DTHS @ BURNERTIP (2.5% COR LOSS)</t>
  </si>
  <si>
    <t>Fixed Price - Columbia</t>
  </si>
  <si>
    <t>FT GAS - FIXED PRICE NON-PGC HEDGE MTH DTH - TRANSCO</t>
  </si>
  <si>
    <t>FT GAS - FIXED PRICE NON-PGC HEDGE DTH/DAY - TRANSCO</t>
  </si>
  <si>
    <t>FT GAS - FIXED PRICE NON-PGC HEDGE COST - TRANSCO</t>
  </si>
  <si>
    <t>FT GAS - FIXED PRICE NON-PGC HEDGE $/DTH - TRANSCO</t>
  </si>
  <si>
    <t>Moore, Flossie - DPU</t>
  </si>
  <si>
    <t>Edwards, Yolanda W. - DPU</t>
  </si>
  <si>
    <t>Cunningham, Carolyn G. - DPU</t>
  </si>
  <si>
    <t>Pipeline Refund</t>
  </si>
  <si>
    <t>FT GAS - TCO BASIS</t>
  </si>
  <si>
    <t>RMI 10% to 50%</t>
  </si>
  <si>
    <t>MGAG Deal 1</t>
  </si>
  <si>
    <t>Tot $%</t>
  </si>
  <si>
    <t>PGC $%</t>
  </si>
  <si>
    <t>PGC MMDth%</t>
  </si>
  <si>
    <t>Tot MMDth%</t>
  </si>
  <si>
    <t>SST  - INJ</t>
  </si>
  <si>
    <t>GSS TRANSFER DTH</t>
  </si>
  <si>
    <t>Other Supply</t>
  </si>
  <si>
    <t>Columbia Yr Baseload</t>
  </si>
  <si>
    <t>Transco Yr Base (10K/day) - Future</t>
  </si>
  <si>
    <t>DTI Winter Base</t>
  </si>
  <si>
    <t>DTI Storage</t>
  </si>
  <si>
    <t>Total Baseload Supply</t>
  </si>
  <si>
    <t>Warm Year Swing Supply</t>
  </si>
  <si>
    <t>Normal Year Swing Supply</t>
  </si>
  <si>
    <t xml:space="preserve">Cold Year Swing </t>
  </si>
  <si>
    <t xml:space="preserve"> Columbia</t>
  </si>
  <si>
    <t>DAILY INDEX TOTAL - DTI</t>
  </si>
  <si>
    <t>DAILY INDEX TOTAL - COLUMBIA</t>
  </si>
  <si>
    <t>DAILY INDEX TOTAL - DTI % OF SWING TOTAL</t>
  </si>
  <si>
    <t>DAILY INDEX TOTAL - COLUMBIA % OF SWING TOTAL</t>
  </si>
  <si>
    <t>FT GAS - PGC HEDGE MTH DTH</t>
  </si>
  <si>
    <t>FT GAS - PGC HEDGE DTH/DAY</t>
  </si>
  <si>
    <t>HEDGE POLICY LIMITS - PGC CITY GATE + STORAGE INJECTIONS DTHS/DAY</t>
  </si>
  <si>
    <t>HEDGE POLICY LIMITS - PGC CITY GATE + STORAGE INJECTIONS MTH DTH</t>
  </si>
  <si>
    <t>FT GAS - NON-PGC HEDGE DTH/DAY</t>
  </si>
  <si>
    <t>FT GAS - NON-PGC HEDGE MTH DTH</t>
  </si>
  <si>
    <t>% REQS</t>
  </si>
  <si>
    <t>FT GAS - PGC HEDGE MTH DTH % OF PGC CITY GATE + STOI REQS</t>
  </si>
  <si>
    <t>FT GAS - PGC HEDGE MTH DTH % OF PGC POLICY LIMIT</t>
  </si>
  <si>
    <t>FT GAS - COLLAR PGC HEDGE MTH DTH - COLUMBIA</t>
  </si>
  <si>
    <t>FT GAS - COLLAR PGC HEDGE DTH/DAY - COLUMBIA</t>
  </si>
  <si>
    <t>FT GAS - COLLAR PGC COST - COLUMBIA</t>
  </si>
  <si>
    <t>FT GAS - COLLAR PGC $/DTH - COLUMBIA</t>
  </si>
  <si>
    <t>FT GAS - COLLAR PGC HEDGE MTH DTH - DTI</t>
  </si>
  <si>
    <t>FT GAS - COLLAR PGC HEDGE DTH/DAY - DTI</t>
  </si>
  <si>
    <t>FT GAS - COLLAR PGC COST - DTI</t>
  </si>
  <si>
    <t>FT GAS - COLLAR PGC $/DTH - DTI</t>
  </si>
  <si>
    <t>Collar - Columbia</t>
  </si>
  <si>
    <t>FT GAS - CAP PGC HEDGE MTH DTH - COLUMBIA</t>
  </si>
  <si>
    <t>FT GAS - CAP PGC HEDGE DTH/DAY - COLUMBIA</t>
  </si>
  <si>
    <t>FT GAS - CAP PGC COST - COLUMBIA</t>
  </si>
  <si>
    <t>FT GAS - CAP PGC $/DTH - COLUMBIA</t>
  </si>
  <si>
    <t>HEDGE</t>
  </si>
  <si>
    <t>NOV-MAR FT GAS SUPPLY</t>
  </si>
  <si>
    <t>BP GAS SUPPLY</t>
  </si>
  <si>
    <t>DAILY</t>
  </si>
  <si>
    <t>DAILY%</t>
  </si>
  <si>
    <t>FT+STOR</t>
  </si>
  <si>
    <t>1112 TOTALS</t>
  </si>
  <si>
    <t>11-12</t>
  </si>
  <si>
    <t>vs 1011</t>
  </si>
  <si>
    <t>12 SUM INJ</t>
  </si>
  <si>
    <t>FY2010-11</t>
  </si>
  <si>
    <t>PIPELINE TOTAL</t>
  </si>
  <si>
    <t>COL GULF FOM INDEX (BP,Conoco,MGAG)</t>
  </si>
  <si>
    <t>COL GULF HEDGE (BP,Conoco,MGAG)</t>
  </si>
  <si>
    <t>DTI TOTAL (INCL VNG)</t>
  </si>
  <si>
    <t>Comparison of Hedge Contracts and Storage vs Market</t>
  </si>
  <si>
    <t xml:space="preserve">FT - Zn 2 to LEIDY </t>
  </si>
  <si>
    <t xml:space="preserve">NYMEX </t>
  </si>
  <si>
    <t>Mcfs</t>
  </si>
  <si>
    <t>Dths</t>
  </si>
  <si>
    <t>PROJECTED VS ACTUAL CG DTHS</t>
  </si>
  <si>
    <t>Gas Control CG Dths less TS</t>
  </si>
  <si>
    <t>Difference</t>
  </si>
  <si>
    <t>% Difference</t>
  </si>
  <si>
    <t>Citygate Dths based on Sales</t>
  </si>
  <si>
    <t>Yr</t>
  </si>
  <si>
    <t>PGC FY1011 Hedge Totals</t>
  </si>
  <si>
    <t>PGC FY1011 Hedge &amp; Storage</t>
  </si>
  <si>
    <t>Jul10-Mar11</t>
  </si>
  <si>
    <t>SOUTH TX  (TRANSCO ZN1)</t>
  </si>
  <si>
    <t>LA - ONSHORE SOUTH (TRANSCO ZN2&amp;3, COL ML)</t>
  </si>
  <si>
    <t>MGAG Columbia Winter Base</t>
  </si>
  <si>
    <t>MGAG Columbia Storage</t>
  </si>
  <si>
    <t>1213 TOTALS</t>
  </si>
  <si>
    <t>12-13</t>
  </si>
  <si>
    <t>1112</t>
  </si>
  <si>
    <t>1213</t>
  </si>
  <si>
    <t>1011Totals</t>
  </si>
  <si>
    <t>FY1011</t>
  </si>
  <si>
    <t>COLUMBIA BASELOAD DTH @ COR - MGAG</t>
  </si>
  <si>
    <t>COLUMBIA FSS BASELOAD DTH @ COR - MGAG</t>
  </si>
  <si>
    <t>13 SUM INJ</t>
  </si>
  <si>
    <t>09-10</t>
  </si>
  <si>
    <t>vs 1112</t>
  </si>
  <si>
    <t>FUTURE Deal</t>
  </si>
  <si>
    <t>FY2011-12</t>
  </si>
  <si>
    <t>BP ENERGY INVOICE TOTAL W/O REV SHARE CREDIT</t>
  </si>
  <si>
    <t>ACTUAL</t>
  </si>
  <si>
    <t>A C T U A L</t>
  </si>
  <si>
    <t>FY0910 Balance</t>
  </si>
  <si>
    <t>NON-PGC Hedges</t>
  </si>
  <si>
    <t>%NON-PGC Reqs</t>
  </si>
  <si>
    <t>Non-PGC Billed and Uncollected</t>
  </si>
  <si>
    <t>Total Non-PGC Costs with Billed and Uncollected</t>
  </si>
  <si>
    <t>YTD PGC Billed and Uncollected</t>
  </si>
  <si>
    <t>PGC Billed and Uncollected</t>
  </si>
  <si>
    <t>Total PGC Costs (w/o CIS Demand) and PGC Billed and Uncollected</t>
  </si>
  <si>
    <t>PGC YTD Costs (w/o CIS Demand) and PGC Billed and Uncollected</t>
  </si>
  <si>
    <t>08/13/09,10/15/10</t>
  </si>
  <si>
    <t>HEDGED DAILY DTHS @ COR (4% PIPELINE LOSS)</t>
  </si>
  <si>
    <t>FY10-11 PGC and NON-PGC Hedges Total</t>
  </si>
  <si>
    <t>PGC FY1112 Hedge Totals</t>
  </si>
  <si>
    <t>PGC FY1112 Hedge &amp; Storage</t>
  </si>
  <si>
    <t>FTNN-GSS</t>
  </si>
  <si>
    <t>Dominion Packaging - Cunningham</t>
  </si>
  <si>
    <t>HandCraft Services - Moore</t>
  </si>
  <si>
    <t>HCA - Chippenham - Edwards</t>
  </si>
  <si>
    <t>HCA - Forest - Moore</t>
  </si>
  <si>
    <t>HCA - Parham - Moore</t>
  </si>
  <si>
    <t>HCA - Retreat - Edwards</t>
  </si>
  <si>
    <t>Henrico Co - Bldgs-Grnds - Moore</t>
  </si>
  <si>
    <t>Henrico Co - Sheriff - Moore</t>
  </si>
  <si>
    <t>Pfizer (Wyeth Pharm) - Moore</t>
  </si>
  <si>
    <t>St. Mary's Hosp - Edwards</t>
  </si>
  <si>
    <t>Ukrop's Homestyle Foods - Edwards</t>
  </si>
  <si>
    <t>VCU - Edwards</t>
  </si>
  <si>
    <t>Virg. Hosp. Laundry - Edwards</t>
  </si>
  <si>
    <t>World Color-Quebecor - Moore</t>
  </si>
  <si>
    <t xml:space="preserve">Jul11-Mar12 </t>
  </si>
  <si>
    <t>ACTUAL MTH DD (NWS)</t>
  </si>
  <si>
    <t>9/28/2010,4/26/11</t>
  </si>
  <si>
    <t>Jul11-Apr12</t>
  </si>
  <si>
    <t>4/13/10,6/29/10,7/23/10,11/1/10,2/28/11,3/10/11</t>
  </si>
  <si>
    <t>11/1/10,2/28/11,3/10/11</t>
  </si>
  <si>
    <t>Jul10-Jun11</t>
  </si>
  <si>
    <t>Nov10-Mar11, May-Jun11</t>
  </si>
  <si>
    <t>TRANSCO  CREDITS</t>
  </si>
  <si>
    <t xml:space="preserve"> </t>
  </si>
  <si>
    <t>EIA 9Aug11</t>
  </si>
  <si>
    <t>PGC Unit Commodity Cost vs WACOG</t>
  </si>
  <si>
    <t>WACOG</t>
  </si>
</sst>
</file>

<file path=xl/styles.xml><?xml version="1.0" encoding="utf-8"?>
<styleSheet xmlns="http://schemas.openxmlformats.org/spreadsheetml/2006/main">
  <numFmts count="28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hh:mm_)"/>
    <numFmt numFmtId="165" formatCode="&quot;$&quot;#,##0.0000_);\(&quot;$&quot;#,##0.0000\)"/>
    <numFmt numFmtId="166" formatCode="General_)"/>
    <numFmt numFmtId="167" formatCode="&quot;$&quot;#,##0.000_);\(&quot;$&quot;#,##0.000\)"/>
    <numFmt numFmtId="168" formatCode="0.0%"/>
    <numFmt numFmtId="169" formatCode="&quot;$&quot;#,##0.000_);[Red]\(&quot;$&quot;#,##0.000\)"/>
    <numFmt numFmtId="170" formatCode="#,##0.000"/>
    <numFmt numFmtId="171" formatCode="#,##0.000_);[Red]\(#,##0.000\)"/>
    <numFmt numFmtId="172" formatCode="&quot;$&quot;#,##0.00"/>
    <numFmt numFmtId="173" formatCode="&quot;$&quot;#,##0"/>
    <numFmt numFmtId="174" formatCode="&quot;$&quot;#,##0.000"/>
    <numFmt numFmtId="175" formatCode="#,##0.0"/>
    <numFmt numFmtId="176" formatCode="dd\-mmm\-yy"/>
    <numFmt numFmtId="177" formatCode="mmmm\ d\,\ yyyy"/>
    <numFmt numFmtId="178" formatCode="0.0"/>
    <numFmt numFmtId="179" formatCode="&quot;$&quot;#,##0.0"/>
    <numFmt numFmtId="180" formatCode="&quot;$&quot;#,##0.0_);[Red]\(&quot;$&quot;#,##0.0\)"/>
    <numFmt numFmtId="181" formatCode="_(* #,##0_);_(* \(#,##0\);_(* &quot;-&quot;??_);_(@_)"/>
    <numFmt numFmtId="182" formatCode="&quot;$&quot;#,##0.0000"/>
    <numFmt numFmtId="183" formatCode="[$-409]d\-mmm\-yy;@"/>
    <numFmt numFmtId="184" formatCode="[$-409]mmm\-yy;@"/>
    <numFmt numFmtId="185" formatCode="0.000"/>
    <numFmt numFmtId="186" formatCode="m/d/yyyy;@"/>
  </numFmts>
  <fonts count="21">
    <font>
      <sz val="12"/>
      <name val="Helv"/>
    </font>
    <font>
      <sz val="10"/>
      <name val="MS Sans Serif"/>
      <family val="2"/>
    </font>
    <font>
      <sz val="8"/>
      <color indexed="81"/>
      <name val="Tahoma"/>
      <family val="2"/>
    </font>
    <font>
      <sz val="12"/>
      <color indexed="81"/>
      <name val="Arial Narrow"/>
      <family val="2"/>
    </font>
    <font>
      <sz val="12"/>
      <color indexed="81"/>
      <name val="Tahoma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  <font>
      <sz val="16"/>
      <color indexed="10"/>
      <name val="Arial"/>
      <family val="2"/>
    </font>
    <font>
      <sz val="16"/>
      <color indexed="8"/>
      <name val="Arial"/>
      <family val="2"/>
    </font>
    <font>
      <sz val="8"/>
      <name val="Helv"/>
    </font>
    <font>
      <b/>
      <sz val="20"/>
      <name val="Arial"/>
      <family val="2"/>
    </font>
    <font>
      <sz val="14"/>
      <color indexed="81"/>
      <name val="Tahoma"/>
      <family val="2"/>
    </font>
    <font>
      <b/>
      <sz val="36"/>
      <name val="Arial"/>
      <family val="2"/>
    </font>
    <font>
      <sz val="16"/>
      <name val="Helv"/>
    </font>
    <font>
      <b/>
      <sz val="8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i/>
      <sz val="16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99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8"/>
      </bottom>
      <diagonal/>
    </border>
  </borders>
  <cellStyleXfs count="5">
    <xf numFmtId="166" fontId="0" fillId="0" borderId="0"/>
    <xf numFmtId="40" fontId="1" fillId="0" borderId="0" applyFont="0" applyFill="0" applyBorder="0" applyAlignment="0" applyProtection="0"/>
    <xf numFmtId="8" fontId="1" fillId="0" borderId="0" applyFont="0" applyFill="0" applyBorder="0" applyAlignment="0" applyProtection="0"/>
    <xf numFmtId="0" fontId="16" fillId="0" borderId="0"/>
    <xf numFmtId="0" fontId="1" fillId="0" borderId="0"/>
  </cellStyleXfs>
  <cellXfs count="480">
    <xf numFmtId="166" fontId="0" fillId="0" borderId="0" xfId="0"/>
    <xf numFmtId="166" fontId="5" fillId="0" borderId="0" xfId="0" applyFont="1"/>
    <xf numFmtId="166" fontId="6" fillId="0" borderId="0" xfId="0" applyFont="1" applyAlignment="1">
      <alignment horizontal="left"/>
    </xf>
    <xf numFmtId="3" fontId="6" fillId="0" borderId="0" xfId="0" applyNumberFormat="1" applyFont="1" applyAlignment="1">
      <alignment horizontal="left"/>
    </xf>
    <xf numFmtId="166" fontId="5" fillId="0" borderId="0" xfId="0" applyFont="1" applyAlignment="1">
      <alignment horizontal="left"/>
    </xf>
    <xf numFmtId="173" fontId="6" fillId="0" borderId="0" xfId="0" applyNumberFormat="1" applyFont="1" applyAlignment="1">
      <alignment horizontal="left"/>
    </xf>
    <xf numFmtId="173" fontId="5" fillId="0" borderId="0" xfId="0" applyNumberFormat="1" applyFont="1" applyAlignment="1">
      <alignment horizontal="left"/>
    </xf>
    <xf numFmtId="172" fontId="5" fillId="0" borderId="0" xfId="0" applyNumberFormat="1" applyFont="1" applyAlignment="1">
      <alignment horizontal="left"/>
    </xf>
    <xf numFmtId="166" fontId="6" fillId="2" borderId="0" xfId="0" applyFont="1" applyFill="1" applyAlignment="1">
      <alignment horizontal="left"/>
    </xf>
    <xf numFmtId="6" fontId="6" fillId="0" borderId="0" xfId="0" applyNumberFormat="1" applyFont="1" applyAlignment="1">
      <alignment horizontal="left"/>
    </xf>
    <xf numFmtId="166" fontId="5" fillId="0" borderId="0" xfId="0" applyFont="1" applyAlignment="1">
      <alignment horizontal="center"/>
    </xf>
    <xf numFmtId="166" fontId="6" fillId="0" borderId="0" xfId="0" applyFont="1" applyAlignment="1">
      <alignment horizontal="center"/>
    </xf>
    <xf numFmtId="166" fontId="6" fillId="0" borderId="0" xfId="0" quotePrefix="1" applyFont="1" applyAlignment="1">
      <alignment horizontal="center"/>
    </xf>
    <xf numFmtId="166" fontId="6" fillId="0" borderId="0" xfId="0" applyFont="1" applyFill="1" applyAlignment="1">
      <alignment horizontal="center"/>
    </xf>
    <xf numFmtId="17" fontId="6" fillId="0" borderId="0" xfId="0" applyNumberFormat="1" applyFont="1" applyFill="1" applyAlignment="1">
      <alignment horizontal="center"/>
    </xf>
    <xf numFmtId="37" fontId="5" fillId="0" borderId="0" xfId="0" applyNumberFormat="1" applyFont="1" applyFill="1" applyAlignment="1" applyProtection="1">
      <alignment horizontal="center"/>
    </xf>
    <xf numFmtId="172" fontId="5" fillId="0" borderId="0" xfId="0" applyNumberFormat="1" applyFont="1" applyAlignment="1">
      <alignment horizontal="center"/>
    </xf>
    <xf numFmtId="172" fontId="5" fillId="0" borderId="0" xfId="0" applyNumberFormat="1" applyFont="1" applyFill="1" applyAlignment="1">
      <alignment horizontal="center"/>
    </xf>
    <xf numFmtId="5" fontId="5" fillId="0" borderId="0" xfId="0" applyNumberFormat="1" applyFont="1" applyFill="1" applyAlignment="1" applyProtection="1">
      <alignment horizontal="center"/>
    </xf>
    <xf numFmtId="5" fontId="5" fillId="0" borderId="0" xfId="0" applyNumberFormat="1" applyFont="1" applyAlignment="1" applyProtection="1">
      <alignment horizontal="center"/>
    </xf>
    <xf numFmtId="7" fontId="5" fillId="0" borderId="0" xfId="0" applyNumberFormat="1" applyFont="1" applyAlignment="1">
      <alignment horizontal="center"/>
    </xf>
    <xf numFmtId="7" fontId="5" fillId="0" borderId="0" xfId="0" applyNumberFormat="1" applyFont="1" applyFill="1" applyAlignment="1">
      <alignment horizontal="center"/>
    </xf>
    <xf numFmtId="3" fontId="5" fillId="0" borderId="0" xfId="0" applyNumberFormat="1" applyFont="1" applyAlignment="1">
      <alignment horizontal="center"/>
    </xf>
    <xf numFmtId="7" fontId="5" fillId="0" borderId="0" xfId="0" applyNumberFormat="1" applyFont="1" applyFill="1" applyAlignment="1" applyProtection="1">
      <alignment horizontal="center"/>
    </xf>
    <xf numFmtId="166" fontId="5" fillId="0" borderId="0" xfId="0" applyFont="1" applyFill="1" applyAlignment="1">
      <alignment horizontal="center"/>
    </xf>
    <xf numFmtId="5" fontId="5" fillId="0" borderId="0" xfId="0" applyNumberFormat="1" applyFont="1" applyAlignment="1">
      <alignment horizontal="center"/>
    </xf>
    <xf numFmtId="5" fontId="5" fillId="0" borderId="0" xfId="0" applyNumberFormat="1" applyFont="1" applyFill="1" applyAlignment="1">
      <alignment horizontal="center"/>
    </xf>
    <xf numFmtId="3" fontId="5" fillId="3" borderId="0" xfId="0" applyNumberFormat="1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8" fontId="5" fillId="0" borderId="0" xfId="0" applyNumberFormat="1" applyFont="1" applyAlignment="1">
      <alignment horizontal="center"/>
    </xf>
    <xf numFmtId="6" fontId="5" fillId="0" borderId="0" xfId="0" applyNumberFormat="1" applyFont="1" applyAlignment="1">
      <alignment horizontal="center"/>
    </xf>
    <xf numFmtId="3" fontId="5" fillId="0" borderId="0" xfId="0" applyNumberFormat="1" applyFont="1"/>
    <xf numFmtId="173" fontId="5" fillId="0" borderId="0" xfId="0" applyNumberFormat="1" applyFont="1" applyAlignment="1">
      <alignment horizontal="center"/>
    </xf>
    <xf numFmtId="166" fontId="6" fillId="0" borderId="0" xfId="0" applyFont="1"/>
    <xf numFmtId="172" fontId="6" fillId="0" borderId="0" xfId="0" applyNumberFormat="1" applyFont="1" applyAlignment="1">
      <alignment horizontal="center"/>
    </xf>
    <xf numFmtId="166" fontId="5" fillId="0" borderId="0" xfId="0" applyFont="1" applyFill="1" applyAlignment="1">
      <alignment horizontal="left"/>
    </xf>
    <xf numFmtId="37" fontId="5" fillId="0" borderId="0" xfId="0" applyNumberFormat="1" applyFont="1" applyFill="1" applyBorder="1" applyAlignment="1" applyProtection="1">
      <alignment horizontal="center"/>
    </xf>
    <xf numFmtId="166" fontId="5" fillId="0" borderId="0" xfId="0" applyFont="1" applyFill="1"/>
    <xf numFmtId="6" fontId="5" fillId="0" borderId="0" xfId="0" applyNumberFormat="1" applyFont="1" applyAlignment="1" applyProtection="1">
      <alignment horizontal="center"/>
    </xf>
    <xf numFmtId="173" fontId="5" fillId="0" borderId="0" xfId="0" applyNumberFormat="1" applyFont="1" applyFill="1" applyAlignment="1">
      <alignment horizontal="center"/>
    </xf>
    <xf numFmtId="5" fontId="5" fillId="0" borderId="1" xfId="0" applyNumberFormat="1" applyFont="1" applyFill="1" applyBorder="1" applyAlignment="1">
      <alignment horizontal="center"/>
    </xf>
    <xf numFmtId="5" fontId="5" fillId="0" borderId="0" xfId="0" applyNumberFormat="1" applyFont="1" applyFill="1" applyBorder="1" applyAlignment="1">
      <alignment horizontal="center"/>
    </xf>
    <xf numFmtId="173" fontId="6" fillId="3" borderId="0" xfId="0" applyNumberFormat="1" applyFont="1" applyFill="1" applyAlignment="1">
      <alignment horizontal="center"/>
    </xf>
    <xf numFmtId="173" fontId="6" fillId="0" borderId="0" xfId="0" applyNumberFormat="1" applyFont="1" applyAlignment="1">
      <alignment horizontal="center"/>
    </xf>
    <xf numFmtId="0" fontId="5" fillId="0" borderId="0" xfId="4" applyFont="1"/>
    <xf numFmtId="0" fontId="6" fillId="0" borderId="0" xfId="4" applyFont="1" applyAlignment="1">
      <alignment horizontal="center"/>
    </xf>
    <xf numFmtId="17" fontId="5" fillId="0" borderId="0" xfId="0" applyNumberFormat="1" applyFont="1" applyAlignment="1">
      <alignment horizontal="center"/>
    </xf>
    <xf numFmtId="0" fontId="5" fillId="0" borderId="0" xfId="4" applyFont="1" applyAlignment="1">
      <alignment horizontal="center"/>
    </xf>
    <xf numFmtId="3" fontId="5" fillId="0" borderId="0" xfId="4" applyNumberFormat="1" applyFont="1" applyAlignment="1">
      <alignment horizontal="center"/>
    </xf>
    <xf numFmtId="0" fontId="5" fillId="0" borderId="0" xfId="4" quotePrefix="1" applyFont="1" applyAlignment="1">
      <alignment horizontal="center"/>
    </xf>
    <xf numFmtId="165" fontId="5" fillId="0" borderId="0" xfId="4" applyNumberFormat="1" applyFont="1" applyAlignment="1">
      <alignment horizontal="center"/>
    </xf>
    <xf numFmtId="165" fontId="5" fillId="0" borderId="0" xfId="4" applyNumberFormat="1" applyFont="1" applyFill="1" applyAlignment="1">
      <alignment horizontal="center"/>
    </xf>
    <xf numFmtId="167" fontId="5" fillId="0" borderId="0" xfId="4" quotePrefix="1" applyNumberFormat="1" applyFont="1" applyAlignment="1">
      <alignment horizontal="center"/>
    </xf>
    <xf numFmtId="5" fontId="5" fillId="0" borderId="0" xfId="4" applyNumberFormat="1" applyFont="1" applyAlignment="1">
      <alignment horizontal="center"/>
    </xf>
    <xf numFmtId="5" fontId="5" fillId="0" borderId="0" xfId="4" applyNumberFormat="1" applyFont="1" applyFill="1" applyAlignment="1">
      <alignment horizontal="center"/>
    </xf>
    <xf numFmtId="17" fontId="5" fillId="0" borderId="0" xfId="0" applyNumberFormat="1" applyFont="1" applyFill="1" applyAlignment="1">
      <alignment horizontal="center"/>
    </xf>
    <xf numFmtId="3" fontId="5" fillId="0" borderId="0" xfId="4" applyNumberFormat="1" applyFont="1" applyFill="1"/>
    <xf numFmtId="3" fontId="5" fillId="0" borderId="0" xfId="4" applyNumberFormat="1" applyFont="1" applyFill="1" applyAlignment="1">
      <alignment horizontal="center"/>
    </xf>
    <xf numFmtId="3" fontId="5" fillId="0" borderId="0" xfId="4" applyNumberFormat="1" applyFont="1"/>
    <xf numFmtId="3" fontId="6" fillId="0" borderId="0" xfId="0" applyNumberFormat="1" applyFont="1" applyAlignment="1">
      <alignment horizontal="center"/>
    </xf>
    <xf numFmtId="172" fontId="5" fillId="0" borderId="0" xfId="4" applyNumberFormat="1" applyFont="1" applyFill="1"/>
    <xf numFmtId="172" fontId="5" fillId="0" borderId="0" xfId="4" quotePrefix="1" applyNumberFormat="1" applyFont="1" applyFill="1" applyAlignment="1">
      <alignment horizontal="center"/>
    </xf>
    <xf numFmtId="172" fontId="5" fillId="0" borderId="0" xfId="4" quotePrefix="1" applyNumberFormat="1" applyFont="1" applyAlignment="1">
      <alignment horizontal="center"/>
    </xf>
    <xf numFmtId="172" fontId="5" fillId="0" borderId="0" xfId="4" applyNumberFormat="1" applyFont="1"/>
    <xf numFmtId="173" fontId="5" fillId="0" borderId="0" xfId="4" applyNumberFormat="1" applyFont="1" applyFill="1"/>
    <xf numFmtId="173" fontId="5" fillId="0" borderId="0" xfId="4" applyNumberFormat="1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173" fontId="5" fillId="0" borderId="0" xfId="4" applyNumberFormat="1" applyFont="1" applyAlignment="1">
      <alignment horizontal="center"/>
    </xf>
    <xf numFmtId="173" fontId="5" fillId="0" borderId="0" xfId="4" applyNumberFormat="1" applyFont="1"/>
    <xf numFmtId="0" fontId="5" fillId="0" borderId="0" xfId="4" applyFont="1" applyFill="1"/>
    <xf numFmtId="0" fontId="5" fillId="0" borderId="0" xfId="4" applyFont="1" applyFill="1" applyAlignment="1">
      <alignment horizontal="center"/>
    </xf>
    <xf numFmtId="181" fontId="9" fillId="0" borderId="0" xfId="1" applyNumberFormat="1" applyFont="1" applyFill="1" applyAlignment="1">
      <alignment horizontal="center"/>
    </xf>
    <xf numFmtId="3" fontId="6" fillId="0" borderId="0" xfId="4" applyNumberFormat="1" applyFont="1" applyAlignment="1">
      <alignment horizontal="center"/>
    </xf>
    <xf numFmtId="172" fontId="5" fillId="0" borderId="0" xfId="4" applyNumberFormat="1" applyFont="1" applyFill="1" applyAlignment="1">
      <alignment horizontal="center"/>
    </xf>
    <xf numFmtId="172" fontId="5" fillId="0" borderId="0" xfId="4" applyNumberFormat="1" applyFont="1" applyAlignment="1">
      <alignment horizontal="center"/>
    </xf>
    <xf numFmtId="38" fontId="5" fillId="0" borderId="0" xfId="4" applyNumberFormat="1" applyFont="1" applyFill="1"/>
    <xf numFmtId="38" fontId="5" fillId="0" borderId="0" xfId="4" applyNumberFormat="1" applyFont="1" applyFill="1" applyAlignment="1">
      <alignment horizontal="center"/>
    </xf>
    <xf numFmtId="38" fontId="5" fillId="0" borderId="0" xfId="4" applyNumberFormat="1" applyFont="1" applyAlignment="1">
      <alignment horizontal="center"/>
    </xf>
    <xf numFmtId="38" fontId="5" fillId="0" borderId="0" xfId="4" applyNumberFormat="1" applyFont="1"/>
    <xf numFmtId="165" fontId="5" fillId="0" borderId="0" xfId="4" applyNumberFormat="1" applyFont="1" applyFill="1"/>
    <xf numFmtId="165" fontId="5" fillId="0" borderId="0" xfId="4" quotePrefix="1" applyNumberFormat="1" applyFont="1" applyFill="1" applyAlignment="1">
      <alignment horizontal="center"/>
    </xf>
    <xf numFmtId="174" fontId="5" fillId="0" borderId="0" xfId="0" applyNumberFormat="1" applyFont="1" applyFill="1" applyAlignment="1">
      <alignment horizontal="center"/>
    </xf>
    <xf numFmtId="165" fontId="5" fillId="0" borderId="0" xfId="0" applyNumberFormat="1" applyFont="1" applyAlignment="1">
      <alignment horizontal="center"/>
    </xf>
    <xf numFmtId="165" fontId="5" fillId="0" borderId="0" xfId="4" quotePrefix="1" applyNumberFormat="1" applyFont="1" applyAlignment="1">
      <alignment horizontal="center"/>
    </xf>
    <xf numFmtId="165" fontId="5" fillId="0" borderId="0" xfId="4" applyNumberFormat="1" applyFont="1"/>
    <xf numFmtId="5" fontId="5" fillId="0" borderId="0" xfId="4" applyNumberFormat="1" applyFont="1" applyFill="1"/>
    <xf numFmtId="5" fontId="5" fillId="0" borderId="0" xfId="4" applyNumberFormat="1" applyFont="1"/>
    <xf numFmtId="0" fontId="6" fillId="0" borderId="0" xfId="4" applyFont="1"/>
    <xf numFmtId="8" fontId="5" fillId="0" borderId="0" xfId="4" applyNumberFormat="1" applyFont="1" applyAlignment="1">
      <alignment horizontal="center"/>
    </xf>
    <xf numFmtId="167" fontId="5" fillId="0" borderId="0" xfId="4" applyNumberFormat="1" applyFont="1" applyFill="1" applyAlignment="1">
      <alignment horizontal="center"/>
    </xf>
    <xf numFmtId="167" fontId="5" fillId="0" borderId="0" xfId="4" applyNumberFormat="1" applyFont="1" applyAlignment="1">
      <alignment horizontal="center"/>
    </xf>
    <xf numFmtId="0" fontId="6" fillId="0" borderId="0" xfId="4" applyFont="1" applyFill="1" applyAlignment="1">
      <alignment horizontal="center"/>
    </xf>
    <xf numFmtId="167" fontId="5" fillId="0" borderId="0" xfId="4" applyNumberFormat="1" applyFont="1"/>
    <xf numFmtId="6" fontId="5" fillId="0" borderId="0" xfId="4" applyNumberFormat="1" applyFont="1" applyAlignment="1">
      <alignment horizontal="center"/>
    </xf>
    <xf numFmtId="5" fontId="6" fillId="0" borderId="0" xfId="4" applyNumberFormat="1" applyFont="1" applyAlignment="1">
      <alignment horizontal="center"/>
    </xf>
    <xf numFmtId="173" fontId="6" fillId="0" borderId="0" xfId="4" applyNumberFormat="1" applyFont="1"/>
    <xf numFmtId="172" fontId="6" fillId="0" borderId="0" xfId="4" applyNumberFormat="1" applyFont="1"/>
    <xf numFmtId="166" fontId="5" fillId="0" borderId="0" xfId="0" applyFont="1" applyAlignment="1">
      <alignment horizontal="right"/>
    </xf>
    <xf numFmtId="172" fontId="5" fillId="0" borderId="0" xfId="0" applyNumberFormat="1" applyFont="1" applyAlignment="1">
      <alignment horizontal="right"/>
    </xf>
    <xf numFmtId="172" fontId="5" fillId="0" borderId="0" xfId="0" applyNumberFormat="1" applyFont="1"/>
    <xf numFmtId="3" fontId="5" fillId="0" borderId="0" xfId="0" applyNumberFormat="1" applyFont="1" applyAlignment="1">
      <alignment horizontal="right"/>
    </xf>
    <xf numFmtId="38" fontId="5" fillId="0" borderId="0" xfId="0" applyNumberFormat="1" applyFont="1" applyFill="1" applyBorder="1" applyAlignment="1">
      <alignment horizontal="center"/>
    </xf>
    <xf numFmtId="9" fontId="5" fillId="0" borderId="0" xfId="0" applyNumberFormat="1" applyFont="1" applyAlignment="1">
      <alignment horizontal="right"/>
    </xf>
    <xf numFmtId="9" fontId="5" fillId="0" borderId="0" xfId="0" applyNumberFormat="1" applyFont="1"/>
    <xf numFmtId="173" fontId="5" fillId="0" borderId="0" xfId="0" applyNumberFormat="1" applyFont="1" applyAlignment="1">
      <alignment horizontal="right"/>
    </xf>
    <xf numFmtId="38" fontId="5" fillId="0" borderId="0" xfId="0" applyNumberFormat="1" applyFont="1"/>
    <xf numFmtId="38" fontId="5" fillId="0" borderId="0" xfId="0" applyNumberFormat="1" applyFont="1" applyAlignment="1">
      <alignment horizontal="right"/>
    </xf>
    <xf numFmtId="38" fontId="5" fillId="0" borderId="0" xfId="0" applyNumberFormat="1" applyFont="1" applyFill="1" applyAlignment="1">
      <alignment horizontal="center"/>
    </xf>
    <xf numFmtId="38" fontId="5" fillId="0" borderId="0" xfId="0" applyNumberFormat="1" applyFont="1" applyAlignment="1">
      <alignment horizontal="center"/>
    </xf>
    <xf numFmtId="6" fontId="5" fillId="0" borderId="0" xfId="0" applyNumberFormat="1" applyFont="1" applyAlignment="1">
      <alignment horizontal="right"/>
    </xf>
    <xf numFmtId="6" fontId="5" fillId="0" borderId="0" xfId="0" applyNumberFormat="1" applyFont="1"/>
    <xf numFmtId="3" fontId="5" fillId="0" borderId="0" xfId="0" applyNumberFormat="1" applyFont="1" applyAlignment="1">
      <alignment horizontal="left"/>
    </xf>
    <xf numFmtId="173" fontId="5" fillId="0" borderId="0" xfId="0" applyNumberFormat="1" applyFont="1"/>
    <xf numFmtId="166" fontId="6" fillId="0" borderId="0" xfId="0" applyFont="1" applyAlignment="1">
      <alignment horizontal="right"/>
    </xf>
    <xf numFmtId="172" fontId="6" fillId="0" borderId="0" xfId="0" applyNumberFormat="1" applyFont="1" applyAlignment="1">
      <alignment horizontal="right"/>
    </xf>
    <xf numFmtId="172" fontId="6" fillId="0" borderId="0" xfId="0" applyNumberFormat="1" applyFont="1"/>
    <xf numFmtId="173" fontId="5" fillId="0" borderId="0" xfId="0" applyNumberFormat="1" applyFont="1" applyFill="1" applyAlignment="1" applyProtection="1">
      <alignment horizontal="center"/>
    </xf>
    <xf numFmtId="3" fontId="5" fillId="0" borderId="0" xfId="0" applyNumberFormat="1" applyFont="1" applyFill="1" applyAlignment="1" applyProtection="1">
      <alignment horizontal="center"/>
    </xf>
    <xf numFmtId="172" fontId="5" fillId="0" borderId="0" xfId="0" applyNumberFormat="1" applyFont="1" applyFill="1" applyAlignment="1" applyProtection="1">
      <alignment horizontal="center"/>
    </xf>
    <xf numFmtId="38" fontId="5" fillId="0" borderId="0" xfId="0" applyNumberFormat="1" applyFont="1" applyAlignment="1">
      <alignment horizontal="left"/>
    </xf>
    <xf numFmtId="38" fontId="5" fillId="0" borderId="0" xfId="0" applyNumberFormat="1" applyFont="1" applyAlignment="1" applyProtection="1">
      <alignment horizontal="center"/>
    </xf>
    <xf numFmtId="6" fontId="5" fillId="0" borderId="0" xfId="0" applyNumberFormat="1" applyFont="1" applyAlignment="1">
      <alignment horizontal="left"/>
    </xf>
    <xf numFmtId="167" fontId="5" fillId="0" borderId="0" xfId="0" applyNumberFormat="1" applyFont="1" applyAlignment="1">
      <alignment horizontal="center"/>
    </xf>
    <xf numFmtId="173" fontId="6" fillId="0" borderId="0" xfId="0" applyNumberFormat="1" applyFont="1"/>
    <xf numFmtId="9" fontId="5" fillId="0" borderId="0" xfId="0" applyNumberFormat="1" applyFont="1" applyAlignment="1">
      <alignment horizontal="center"/>
    </xf>
    <xf numFmtId="3" fontId="6" fillId="0" borderId="0" xfId="0" applyNumberFormat="1" applyFont="1"/>
    <xf numFmtId="172" fontId="6" fillId="0" borderId="0" xfId="0" applyNumberFormat="1" applyFont="1" applyAlignment="1">
      <alignment horizontal="left"/>
    </xf>
    <xf numFmtId="9" fontId="6" fillId="0" borderId="0" xfId="0" applyNumberFormat="1" applyFont="1" applyAlignment="1">
      <alignment horizontal="left"/>
    </xf>
    <xf numFmtId="9" fontId="5" fillId="0" borderId="0" xfId="0" applyNumberFormat="1" applyFont="1" applyFill="1" applyAlignment="1">
      <alignment horizontal="center"/>
    </xf>
    <xf numFmtId="168" fontId="5" fillId="0" borderId="0" xfId="0" applyNumberFormat="1" applyFont="1" applyFill="1" applyAlignment="1">
      <alignment horizontal="center"/>
    </xf>
    <xf numFmtId="7" fontId="5" fillId="0" borderId="0" xfId="0" applyNumberFormat="1" applyFont="1" applyFill="1" applyBorder="1" applyAlignment="1" applyProtection="1">
      <alignment horizontal="center"/>
    </xf>
    <xf numFmtId="3" fontId="6" fillId="0" borderId="0" xfId="0" applyNumberFormat="1" applyFont="1" applyFill="1" applyAlignment="1">
      <alignment horizontal="center"/>
    </xf>
    <xf numFmtId="3" fontId="5" fillId="2" borderId="0" xfId="0" applyNumberFormat="1" applyFont="1" applyFill="1" applyAlignment="1">
      <alignment horizontal="center"/>
    </xf>
    <xf numFmtId="166" fontId="5" fillId="2" borderId="0" xfId="0" applyFont="1" applyFill="1" applyAlignment="1">
      <alignment horizontal="center"/>
    </xf>
    <xf numFmtId="9" fontId="6" fillId="3" borderId="0" xfId="0" applyNumberFormat="1" applyFont="1" applyFill="1" applyAlignment="1">
      <alignment horizontal="center"/>
    </xf>
    <xf numFmtId="7" fontId="6" fillId="3" borderId="0" xfId="0" applyNumberFormat="1" applyFont="1" applyFill="1" applyAlignment="1">
      <alignment horizontal="center"/>
    </xf>
    <xf numFmtId="172" fontId="6" fillId="3" borderId="0" xfId="0" applyNumberFormat="1" applyFont="1" applyFill="1" applyAlignment="1">
      <alignment horizontal="center"/>
    </xf>
    <xf numFmtId="3" fontId="5" fillId="2" borderId="0" xfId="0" applyNumberFormat="1" applyFont="1" applyFill="1"/>
    <xf numFmtId="9" fontId="5" fillId="0" borderId="0" xfId="0" applyNumberFormat="1" applyFont="1" applyAlignment="1">
      <alignment horizontal="left"/>
    </xf>
    <xf numFmtId="38" fontId="5" fillId="2" borderId="0" xfId="0" applyNumberFormat="1" applyFont="1" applyFill="1"/>
    <xf numFmtId="9" fontId="6" fillId="0" borderId="0" xfId="0" applyNumberFormat="1" applyFont="1" applyFill="1" applyAlignment="1">
      <alignment horizontal="center"/>
    </xf>
    <xf numFmtId="17" fontId="6" fillId="0" borderId="0" xfId="0" quotePrefix="1" applyNumberFormat="1" applyFont="1" applyBorder="1" applyAlignment="1">
      <alignment horizontal="center"/>
    </xf>
    <xf numFmtId="17" fontId="6" fillId="0" borderId="0" xfId="0" applyNumberFormat="1" applyFont="1" applyAlignment="1">
      <alignment horizontal="center"/>
    </xf>
    <xf numFmtId="3" fontId="6" fillId="3" borderId="0" xfId="0" applyNumberFormat="1" applyFont="1" applyFill="1" applyAlignment="1">
      <alignment horizontal="center"/>
    </xf>
    <xf numFmtId="168" fontId="5" fillId="0" borderId="0" xfId="0" applyNumberFormat="1" applyFont="1"/>
    <xf numFmtId="9" fontId="5" fillId="2" borderId="0" xfId="0" applyNumberFormat="1" applyFont="1" applyFill="1"/>
    <xf numFmtId="172" fontId="5" fillId="2" borderId="0" xfId="0" applyNumberFormat="1" applyFont="1" applyFill="1" applyAlignment="1">
      <alignment horizontal="center"/>
    </xf>
    <xf numFmtId="2" fontId="5" fillId="0" borderId="0" xfId="0" applyNumberFormat="1" applyFont="1"/>
    <xf numFmtId="175" fontId="5" fillId="0" borderId="0" xfId="0" applyNumberFormat="1" applyFont="1" applyAlignment="1">
      <alignment horizontal="center"/>
    </xf>
    <xf numFmtId="17" fontId="6" fillId="0" borderId="0" xfId="0" applyNumberFormat="1" applyFont="1" applyBorder="1" applyAlignment="1">
      <alignment horizontal="center"/>
    </xf>
    <xf numFmtId="9" fontId="5" fillId="2" borderId="0" xfId="0" applyNumberFormat="1" applyFont="1" applyFill="1" applyAlignment="1">
      <alignment horizontal="center"/>
    </xf>
    <xf numFmtId="3" fontId="5" fillId="0" borderId="0" xfId="0" applyNumberFormat="1" applyFont="1" applyAlignment="1" applyProtection="1">
      <alignment horizontal="center" vertical="center"/>
    </xf>
    <xf numFmtId="3" fontId="5" fillId="0" borderId="0" xfId="0" applyNumberFormat="1" applyFont="1" applyBorder="1" applyAlignment="1">
      <alignment horizontal="center"/>
    </xf>
    <xf numFmtId="3" fontId="5" fillId="2" borderId="0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68" fontId="5" fillId="2" borderId="0" xfId="0" applyNumberFormat="1" applyFont="1" applyFill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3" fontId="6" fillId="0" borderId="0" xfId="0" applyNumberFormat="1" applyFont="1" applyAlignment="1" applyProtection="1">
      <alignment horizontal="center" vertical="center"/>
    </xf>
    <xf numFmtId="3" fontId="5" fillId="0" borderId="0" xfId="0" quotePrefix="1" applyNumberFormat="1" applyFont="1" applyBorder="1" applyAlignment="1">
      <alignment horizontal="center"/>
    </xf>
    <xf numFmtId="3" fontId="5" fillId="0" borderId="0" xfId="0" quotePrefix="1" applyNumberFormat="1" applyFont="1" applyAlignment="1">
      <alignment horizontal="center"/>
    </xf>
    <xf numFmtId="3" fontId="6" fillId="3" borderId="0" xfId="0" applyNumberFormat="1" applyFont="1" applyFill="1" applyAlignment="1" applyProtection="1">
      <alignment horizontal="center" vertical="center"/>
    </xf>
    <xf numFmtId="38" fontId="5" fillId="0" borderId="0" xfId="0" applyNumberFormat="1" applyFont="1" applyAlignment="1" applyProtection="1">
      <alignment horizontal="center" vertical="center"/>
    </xf>
    <xf numFmtId="3" fontId="6" fillId="0" borderId="0" xfId="0" applyNumberFormat="1" applyFont="1" applyBorder="1" applyAlignment="1">
      <alignment horizontal="center"/>
    </xf>
    <xf numFmtId="3" fontId="5" fillId="0" borderId="0" xfId="0" applyNumberFormat="1" applyFont="1" applyFill="1" applyBorder="1" applyAlignment="1">
      <alignment horizontal="center"/>
    </xf>
    <xf numFmtId="38" fontId="5" fillId="0" borderId="0" xfId="0" applyNumberFormat="1" applyFont="1" applyBorder="1" applyAlignment="1">
      <alignment horizontal="center"/>
    </xf>
    <xf numFmtId="9" fontId="5" fillId="0" borderId="0" xfId="0" applyNumberFormat="1" applyFont="1" applyBorder="1" applyAlignment="1">
      <alignment horizontal="center"/>
    </xf>
    <xf numFmtId="179" fontId="5" fillId="0" borderId="0" xfId="0" applyNumberFormat="1" applyFont="1" applyAlignment="1">
      <alignment horizontal="center"/>
    </xf>
    <xf numFmtId="177" fontId="6" fillId="0" borderId="0" xfId="0" applyNumberFormat="1" applyFont="1" applyAlignment="1">
      <alignment horizontal="left"/>
    </xf>
    <xf numFmtId="9" fontId="6" fillId="0" borderId="0" xfId="0" applyNumberFormat="1" applyFont="1" applyAlignment="1">
      <alignment horizontal="center"/>
    </xf>
    <xf numFmtId="6" fontId="6" fillId="0" borderId="0" xfId="0" applyNumberFormat="1" applyFont="1" applyAlignment="1">
      <alignment horizontal="center"/>
    </xf>
    <xf numFmtId="166" fontId="6" fillId="0" borderId="0" xfId="0" applyFont="1" applyFill="1" applyAlignment="1">
      <alignment horizontal="left"/>
    </xf>
    <xf numFmtId="168" fontId="6" fillId="0" borderId="0" xfId="0" applyNumberFormat="1" applyFont="1" applyAlignment="1">
      <alignment horizontal="center"/>
    </xf>
    <xf numFmtId="6" fontId="6" fillId="3" borderId="0" xfId="0" applyNumberFormat="1" applyFont="1" applyFill="1" applyAlignment="1">
      <alignment horizontal="center"/>
    </xf>
    <xf numFmtId="168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/>
    </xf>
    <xf numFmtId="168" fontId="5" fillId="0" borderId="0" xfId="0" applyNumberFormat="1" applyFont="1" applyAlignment="1">
      <alignment horizontal="center"/>
    </xf>
    <xf numFmtId="179" fontId="6" fillId="0" borderId="0" xfId="0" quotePrefix="1" applyNumberFormat="1" applyFont="1" applyAlignment="1">
      <alignment horizontal="center"/>
    </xf>
    <xf numFmtId="179" fontId="6" fillId="0" borderId="0" xfId="0" applyNumberFormat="1" applyFont="1" applyAlignment="1">
      <alignment horizontal="center"/>
    </xf>
    <xf numFmtId="175" fontId="6" fillId="0" borderId="0" xfId="0" applyNumberFormat="1" applyFont="1" applyAlignment="1">
      <alignment horizontal="center"/>
    </xf>
    <xf numFmtId="180" fontId="5" fillId="0" borderId="0" xfId="0" applyNumberFormat="1" applyFont="1" applyAlignment="1">
      <alignment horizontal="center"/>
    </xf>
    <xf numFmtId="180" fontId="6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7" fontId="6" fillId="0" borderId="0" xfId="0" applyNumberFormat="1" applyFont="1" applyFill="1" applyAlignment="1">
      <alignment horizontal="center"/>
    </xf>
    <xf numFmtId="17" fontId="6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 applyProtection="1">
      <alignment horizontal="center" vertical="center"/>
    </xf>
    <xf numFmtId="38" fontId="5" fillId="0" borderId="0" xfId="0" applyNumberFormat="1" applyFont="1" applyFill="1" applyAlignment="1" applyProtection="1">
      <alignment horizontal="center" vertical="center"/>
    </xf>
    <xf numFmtId="8" fontId="6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173" fontId="5" fillId="2" borderId="0" xfId="0" applyNumberFormat="1" applyFont="1" applyFill="1" applyAlignment="1">
      <alignment horizontal="center"/>
    </xf>
    <xf numFmtId="172" fontId="5" fillId="4" borderId="0" xfId="0" applyNumberFormat="1" applyFont="1" applyFill="1" applyAlignment="1">
      <alignment horizontal="center"/>
    </xf>
    <xf numFmtId="173" fontId="5" fillId="4" borderId="0" xfId="0" applyNumberFormat="1" applyFont="1" applyFill="1" applyAlignment="1">
      <alignment horizontal="center"/>
    </xf>
    <xf numFmtId="17" fontId="6" fillId="0" borderId="0" xfId="0" quotePrefix="1" applyNumberFormat="1" applyFont="1" applyAlignment="1">
      <alignment horizontal="center"/>
    </xf>
    <xf numFmtId="6" fontId="6" fillId="0" borderId="0" xfId="0" applyNumberFormat="1" applyFont="1" applyFill="1" applyAlignment="1">
      <alignment horizontal="center"/>
    </xf>
    <xf numFmtId="166" fontId="6" fillId="3" borderId="0" xfId="0" applyFont="1" applyFill="1" applyAlignment="1">
      <alignment horizontal="left"/>
    </xf>
    <xf numFmtId="173" fontId="5" fillId="3" borderId="0" xfId="0" applyNumberFormat="1" applyFont="1" applyFill="1" applyAlignment="1">
      <alignment horizontal="center"/>
    </xf>
    <xf numFmtId="3" fontId="5" fillId="4" borderId="0" xfId="0" applyNumberFormat="1" applyFont="1" applyFill="1" applyAlignment="1">
      <alignment horizontal="center"/>
    </xf>
    <xf numFmtId="38" fontId="5" fillId="4" borderId="0" xfId="0" applyNumberFormat="1" applyFont="1" applyFill="1" applyAlignment="1">
      <alignment horizontal="center"/>
    </xf>
    <xf numFmtId="172" fontId="6" fillId="0" borderId="0" xfId="0" applyNumberFormat="1" applyFont="1" applyFill="1" applyAlignment="1">
      <alignment horizontal="center"/>
    </xf>
    <xf numFmtId="8" fontId="5" fillId="0" borderId="0" xfId="0" applyNumberFormat="1" applyFont="1"/>
    <xf numFmtId="173" fontId="6" fillId="0" borderId="0" xfId="0" applyNumberFormat="1" applyFont="1" applyFill="1" applyAlignment="1">
      <alignment horizontal="center"/>
    </xf>
    <xf numFmtId="6" fontId="5" fillId="3" borderId="0" xfId="0" applyNumberFormat="1" applyFont="1" applyFill="1" applyAlignment="1">
      <alignment horizontal="center"/>
    </xf>
    <xf numFmtId="5" fontId="6" fillId="0" borderId="0" xfId="0" applyNumberFormat="1" applyFont="1" applyFill="1" applyAlignment="1">
      <alignment horizontal="center"/>
    </xf>
    <xf numFmtId="167" fontId="6" fillId="0" borderId="0" xfId="0" applyNumberFormat="1" applyFont="1" applyFill="1" applyAlignment="1">
      <alignment horizontal="center"/>
    </xf>
    <xf numFmtId="172" fontId="5" fillId="0" borderId="0" xfId="0" applyNumberFormat="1" applyFont="1" applyFill="1" applyBorder="1" applyAlignment="1">
      <alignment horizontal="center"/>
    </xf>
    <xf numFmtId="9" fontId="6" fillId="0" borderId="0" xfId="0" applyNumberFormat="1" applyFont="1"/>
    <xf numFmtId="5" fontId="6" fillId="0" borderId="0" xfId="0" applyNumberFormat="1" applyFont="1" applyAlignment="1">
      <alignment horizontal="center"/>
    </xf>
    <xf numFmtId="172" fontId="5" fillId="3" borderId="0" xfId="0" applyNumberFormat="1" applyFont="1" applyFill="1" applyAlignment="1">
      <alignment horizontal="center"/>
    </xf>
    <xf numFmtId="8" fontId="6" fillId="0" borderId="0" xfId="0" applyNumberFormat="1" applyFont="1" applyFill="1" applyAlignment="1">
      <alignment horizontal="center"/>
    </xf>
    <xf numFmtId="3" fontId="5" fillId="0" borderId="0" xfId="0" applyNumberFormat="1" applyFont="1" applyFill="1" applyAlignment="1">
      <alignment horizontal="left"/>
    </xf>
    <xf numFmtId="38" fontId="5" fillId="0" borderId="0" xfId="0" applyNumberFormat="1" applyFont="1" applyFill="1" applyAlignment="1">
      <alignment horizontal="left"/>
    </xf>
    <xf numFmtId="3" fontId="6" fillId="0" borderId="0" xfId="0" applyNumberFormat="1" applyFont="1" applyFill="1" applyAlignment="1">
      <alignment horizontal="left"/>
    </xf>
    <xf numFmtId="173" fontId="6" fillId="0" borderId="0" xfId="0" applyNumberFormat="1" applyFont="1" applyFill="1" applyAlignment="1">
      <alignment horizontal="left"/>
    </xf>
    <xf numFmtId="38" fontId="6" fillId="0" borderId="0" xfId="0" applyNumberFormat="1" applyFont="1" applyAlignment="1">
      <alignment horizontal="center"/>
    </xf>
    <xf numFmtId="38" fontId="6" fillId="0" borderId="0" xfId="0" applyNumberFormat="1" applyFont="1"/>
    <xf numFmtId="38" fontId="6" fillId="0" borderId="0" xfId="0" applyNumberFormat="1" applyFont="1" applyFill="1" applyAlignment="1">
      <alignment horizontal="center"/>
    </xf>
    <xf numFmtId="3" fontId="5" fillId="5" borderId="0" xfId="0" applyNumberFormat="1" applyFont="1" applyFill="1" applyAlignment="1">
      <alignment horizontal="center"/>
    </xf>
    <xf numFmtId="38" fontId="6" fillId="3" borderId="0" xfId="0" applyNumberFormat="1" applyFont="1" applyFill="1" applyAlignment="1">
      <alignment horizontal="center"/>
    </xf>
    <xf numFmtId="3" fontId="5" fillId="4" borderId="0" xfId="0" applyNumberFormat="1" applyFont="1" applyFill="1"/>
    <xf numFmtId="172" fontId="5" fillId="2" borderId="0" xfId="0" applyNumberFormat="1" applyFont="1" applyFill="1" applyAlignment="1">
      <alignment horizontal="left"/>
    </xf>
    <xf numFmtId="3" fontId="6" fillId="2" borderId="0" xfId="0" applyNumberFormat="1" applyFont="1" applyFill="1" applyAlignment="1">
      <alignment horizontal="center"/>
    </xf>
    <xf numFmtId="9" fontId="5" fillId="0" borderId="0" xfId="0" applyNumberFormat="1" applyFont="1" applyFill="1"/>
    <xf numFmtId="166" fontId="5" fillId="2" borderId="0" xfId="0" applyFont="1" applyFill="1"/>
    <xf numFmtId="172" fontId="5" fillId="4" borderId="0" xfId="0" applyNumberFormat="1" applyFont="1" applyFill="1"/>
    <xf numFmtId="172" fontId="5" fillId="4" borderId="0" xfId="0" applyNumberFormat="1" applyFont="1" applyFill="1" applyAlignment="1">
      <alignment horizontal="left"/>
    </xf>
    <xf numFmtId="172" fontId="6" fillId="4" borderId="0" xfId="0" applyNumberFormat="1" applyFont="1" applyFill="1"/>
    <xf numFmtId="3" fontId="5" fillId="4" borderId="0" xfId="0" applyNumberFormat="1" applyFont="1" applyFill="1" applyAlignment="1">
      <alignment horizontal="left"/>
    </xf>
    <xf numFmtId="38" fontId="5" fillId="4" borderId="0" xfId="0" applyNumberFormat="1" applyFont="1" applyFill="1" applyAlignment="1">
      <alignment horizontal="left"/>
    </xf>
    <xf numFmtId="166" fontId="5" fillId="4" borderId="0" xfId="0" applyFont="1" applyFill="1" applyAlignment="1">
      <alignment horizontal="center"/>
    </xf>
    <xf numFmtId="8" fontId="5" fillId="0" borderId="0" xfId="0" applyNumberFormat="1" applyFont="1" applyFill="1"/>
    <xf numFmtId="8" fontId="5" fillId="0" borderId="0" xfId="0" applyNumberFormat="1" applyFont="1" applyFill="1" applyAlignment="1">
      <alignment horizontal="center"/>
    </xf>
    <xf numFmtId="3" fontId="5" fillId="0" borderId="0" xfId="0" applyNumberFormat="1" applyFont="1" applyFill="1"/>
    <xf numFmtId="175" fontId="5" fillId="0" borderId="0" xfId="0" applyNumberFormat="1" applyFont="1"/>
    <xf numFmtId="3" fontId="6" fillId="5" borderId="0" xfId="0" applyNumberFormat="1" applyFont="1" applyFill="1" applyAlignment="1">
      <alignment horizontal="center"/>
    </xf>
    <xf numFmtId="180" fontId="5" fillId="0" borderId="0" xfId="0" applyNumberFormat="1" applyFont="1"/>
    <xf numFmtId="6" fontId="6" fillId="0" borderId="0" xfId="0" applyNumberFormat="1" applyFont="1"/>
    <xf numFmtId="6" fontId="5" fillId="0" borderId="0" xfId="0" applyNumberFormat="1" applyFont="1" applyBorder="1" applyAlignment="1">
      <alignment horizontal="center"/>
    </xf>
    <xf numFmtId="172" fontId="5" fillId="0" borderId="2" xfId="0" applyNumberFormat="1" applyFont="1" applyBorder="1" applyAlignment="1">
      <alignment horizontal="left"/>
    </xf>
    <xf numFmtId="172" fontId="5" fillId="0" borderId="3" xfId="0" applyNumberFormat="1" applyFont="1" applyBorder="1" applyAlignment="1">
      <alignment horizontal="center"/>
    </xf>
    <xf numFmtId="172" fontId="5" fillId="0" borderId="4" xfId="0" applyNumberFormat="1" applyFont="1" applyBorder="1" applyAlignment="1">
      <alignment horizontal="center"/>
    </xf>
    <xf numFmtId="6" fontId="5" fillId="0" borderId="5" xfId="0" applyNumberFormat="1" applyFont="1" applyBorder="1"/>
    <xf numFmtId="6" fontId="5" fillId="0" borderId="6" xfId="0" applyNumberFormat="1" applyFont="1" applyBorder="1" applyAlignment="1">
      <alignment horizontal="center"/>
    </xf>
    <xf numFmtId="3" fontId="5" fillId="3" borderId="0" xfId="0" quotePrefix="1" applyNumberFormat="1" applyFont="1" applyFill="1" applyBorder="1" applyAlignment="1">
      <alignment horizontal="center"/>
    </xf>
    <xf numFmtId="168" fontId="6" fillId="0" borderId="0" xfId="0" applyNumberFormat="1" applyFont="1" applyFill="1" applyAlignment="1">
      <alignment horizontal="left"/>
    </xf>
    <xf numFmtId="168" fontId="6" fillId="0" borderId="0" xfId="0" applyNumberFormat="1" applyFont="1" applyFill="1" applyAlignment="1">
      <alignment horizontal="center"/>
    </xf>
    <xf numFmtId="172" fontId="5" fillId="0" borderId="0" xfId="0" applyNumberFormat="1" applyFont="1" applyBorder="1" applyAlignment="1">
      <alignment horizontal="center"/>
    </xf>
    <xf numFmtId="166" fontId="6" fillId="0" borderId="2" xfId="0" applyFont="1" applyBorder="1"/>
    <xf numFmtId="166" fontId="5" fillId="0" borderId="3" xfId="0" applyFont="1" applyBorder="1" applyAlignment="1">
      <alignment horizontal="center"/>
    </xf>
    <xf numFmtId="166" fontId="5" fillId="0" borderId="3" xfId="0" applyFont="1" applyBorder="1"/>
    <xf numFmtId="3" fontId="5" fillId="0" borderId="3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/>
    </xf>
    <xf numFmtId="8" fontId="6" fillId="0" borderId="3" xfId="0" applyNumberFormat="1" applyFont="1" applyBorder="1" applyAlignment="1">
      <alignment horizontal="center"/>
    </xf>
    <xf numFmtId="6" fontId="5" fillId="0" borderId="4" xfId="0" applyNumberFormat="1" applyFont="1" applyBorder="1" applyAlignment="1">
      <alignment horizontal="center"/>
    </xf>
    <xf numFmtId="166" fontId="6" fillId="0" borderId="5" xfId="0" applyFont="1" applyBorder="1"/>
    <xf numFmtId="166" fontId="6" fillId="0" borderId="0" xfId="0" applyFont="1" applyBorder="1" applyAlignment="1">
      <alignment horizontal="center"/>
    </xf>
    <xf numFmtId="172" fontId="6" fillId="0" borderId="0" xfId="0" applyNumberFormat="1" applyFont="1" applyBorder="1" applyAlignment="1">
      <alignment horizontal="center"/>
    </xf>
    <xf numFmtId="8" fontId="6" fillId="0" borderId="0" xfId="0" applyNumberFormat="1" applyFont="1" applyBorder="1" applyAlignment="1">
      <alignment horizontal="center"/>
    </xf>
    <xf numFmtId="6" fontId="6" fillId="0" borderId="6" xfId="0" applyNumberFormat="1" applyFont="1" applyBorder="1" applyAlignment="1">
      <alignment horizontal="center"/>
    </xf>
    <xf numFmtId="166" fontId="5" fillId="0" borderId="0" xfId="0" applyFont="1" applyBorder="1" applyAlignment="1">
      <alignment horizontal="center"/>
    </xf>
    <xf numFmtId="8" fontId="5" fillId="0" borderId="0" xfId="0" applyNumberFormat="1" applyFont="1" applyBorder="1" applyAlignment="1">
      <alignment horizontal="center"/>
    </xf>
    <xf numFmtId="166" fontId="6" fillId="0" borderId="7" xfId="0" applyFont="1" applyBorder="1"/>
    <xf numFmtId="166" fontId="5" fillId="0" borderId="8" xfId="0" applyFont="1" applyBorder="1" applyAlignment="1">
      <alignment horizontal="center"/>
    </xf>
    <xf numFmtId="166" fontId="5" fillId="0" borderId="8" xfId="0" applyFont="1" applyBorder="1"/>
    <xf numFmtId="3" fontId="5" fillId="0" borderId="8" xfId="0" applyNumberFormat="1" applyFont="1" applyBorder="1" applyAlignment="1">
      <alignment horizontal="center"/>
    </xf>
    <xf numFmtId="3" fontId="6" fillId="0" borderId="8" xfId="0" applyNumberFormat="1" applyFont="1" applyBorder="1" applyAlignment="1">
      <alignment horizontal="center"/>
    </xf>
    <xf numFmtId="9" fontId="6" fillId="0" borderId="8" xfId="0" applyNumberFormat="1" applyFont="1" applyBorder="1" applyAlignment="1">
      <alignment horizontal="center"/>
    </xf>
    <xf numFmtId="172" fontId="6" fillId="0" borderId="8" xfId="0" applyNumberFormat="1" applyFont="1" applyBorder="1" applyAlignment="1">
      <alignment horizontal="center"/>
    </xf>
    <xf numFmtId="8" fontId="6" fillId="0" borderId="8" xfId="0" applyNumberFormat="1" applyFont="1" applyBorder="1" applyAlignment="1">
      <alignment horizontal="center"/>
    </xf>
    <xf numFmtId="6" fontId="6" fillId="0" borderId="9" xfId="0" applyNumberFormat="1" applyFont="1" applyBorder="1" applyAlignment="1">
      <alignment horizontal="center"/>
    </xf>
    <xf numFmtId="166" fontId="5" fillId="0" borderId="2" xfId="0" applyFont="1" applyBorder="1"/>
    <xf numFmtId="166" fontId="5" fillId="0" borderId="5" xfId="0" applyFont="1" applyBorder="1"/>
    <xf numFmtId="9" fontId="6" fillId="0" borderId="0" xfId="0" applyNumberFormat="1" applyFont="1" applyBorder="1" applyAlignment="1">
      <alignment horizontal="center"/>
    </xf>
    <xf numFmtId="9" fontId="5" fillId="0" borderId="3" xfId="0" applyNumberFormat="1" applyFont="1" applyBorder="1" applyAlignment="1">
      <alignment horizontal="center"/>
    </xf>
    <xf numFmtId="6" fontId="6" fillId="0" borderId="4" xfId="0" applyNumberFormat="1" applyFont="1" applyBorder="1" applyAlignment="1">
      <alignment horizontal="center"/>
    </xf>
    <xf numFmtId="3" fontId="6" fillId="0" borderId="8" xfId="0" applyNumberFormat="1" applyFont="1" applyFill="1" applyBorder="1" applyAlignment="1">
      <alignment horizontal="center"/>
    </xf>
    <xf numFmtId="180" fontId="5" fillId="0" borderId="0" xfId="0" applyNumberFormat="1" applyFont="1" applyFill="1" applyAlignment="1">
      <alignment horizontal="center"/>
    </xf>
    <xf numFmtId="175" fontId="5" fillId="0" borderId="0" xfId="0" applyNumberFormat="1" applyFont="1" applyFill="1" applyAlignment="1">
      <alignment horizontal="center"/>
    </xf>
    <xf numFmtId="3" fontId="5" fillId="2" borderId="0" xfId="0" quotePrefix="1" applyNumberFormat="1" applyFont="1" applyFill="1" applyBorder="1" applyAlignment="1">
      <alignment horizontal="center"/>
    </xf>
    <xf numFmtId="3" fontId="5" fillId="0" borderId="0" xfId="0" quotePrefix="1" applyNumberFormat="1" applyFont="1" applyFill="1" applyAlignment="1">
      <alignment horizontal="center"/>
    </xf>
    <xf numFmtId="3" fontId="5" fillId="2" borderId="0" xfId="0" quotePrefix="1" applyNumberFormat="1" applyFont="1" applyFill="1" applyAlignment="1">
      <alignment horizontal="center"/>
    </xf>
    <xf numFmtId="3" fontId="6" fillId="0" borderId="0" xfId="0" applyNumberFormat="1" applyFont="1" applyFill="1" applyBorder="1" applyAlignment="1">
      <alignment horizontal="center"/>
    </xf>
    <xf numFmtId="166" fontId="5" fillId="3" borderId="0" xfId="0" applyFont="1" applyFill="1" applyAlignment="1">
      <alignment horizontal="center"/>
    </xf>
    <xf numFmtId="38" fontId="5" fillId="3" borderId="0" xfId="0" applyNumberFormat="1" applyFont="1" applyFill="1" applyAlignment="1">
      <alignment horizontal="center"/>
    </xf>
    <xf numFmtId="9" fontId="5" fillId="3" borderId="0" xfId="0" applyNumberFormat="1" applyFont="1" applyFill="1" applyAlignment="1">
      <alignment horizontal="center"/>
    </xf>
    <xf numFmtId="9" fontId="5" fillId="3" borderId="0" xfId="0" applyNumberFormat="1" applyFont="1" applyFill="1" applyBorder="1" applyAlignment="1">
      <alignment horizontal="center"/>
    </xf>
    <xf numFmtId="173" fontId="6" fillId="0" borderId="0" xfId="0" applyNumberFormat="1" applyFont="1" applyAlignment="1">
      <alignment horizontal="right"/>
    </xf>
    <xf numFmtId="6" fontId="6" fillId="0" borderId="0" xfId="0" applyNumberFormat="1" applyFont="1" applyAlignment="1">
      <alignment horizontal="right"/>
    </xf>
    <xf numFmtId="38" fontId="5" fillId="0" borderId="0" xfId="0" applyNumberFormat="1" applyFont="1" applyFill="1" applyAlignment="1" applyProtection="1">
      <alignment horizontal="center"/>
    </xf>
    <xf numFmtId="6" fontId="5" fillId="0" borderId="0" xfId="0" applyNumberFormat="1" applyFont="1" applyFill="1" applyAlignment="1" applyProtection="1">
      <alignment horizontal="center"/>
    </xf>
    <xf numFmtId="3" fontId="5" fillId="4" borderId="0" xfId="0" applyNumberFormat="1" applyFont="1" applyFill="1" applyBorder="1" applyAlignment="1">
      <alignment horizontal="center"/>
    </xf>
    <xf numFmtId="37" fontId="5" fillId="0" borderId="0" xfId="0" applyNumberFormat="1" applyFont="1" applyFill="1" applyAlignment="1">
      <alignment horizontal="center"/>
    </xf>
    <xf numFmtId="173" fontId="5" fillId="0" borderId="0" xfId="0" applyNumberFormat="1" applyFont="1" applyFill="1" applyBorder="1" applyAlignment="1">
      <alignment horizontal="center"/>
    </xf>
    <xf numFmtId="8" fontId="5" fillId="0" borderId="0" xfId="0" applyNumberFormat="1" applyFont="1" applyFill="1" applyAlignment="1" applyProtection="1">
      <alignment horizontal="center"/>
    </xf>
    <xf numFmtId="38" fontId="5" fillId="4" borderId="0" xfId="0" applyNumberFormat="1" applyFont="1" applyFill="1"/>
    <xf numFmtId="184" fontId="6" fillId="0" borderId="3" xfId="0" applyNumberFormat="1" applyFont="1" applyBorder="1" applyAlignment="1">
      <alignment horizontal="center"/>
    </xf>
    <xf numFmtId="184" fontId="6" fillId="0" borderId="4" xfId="0" applyNumberFormat="1" applyFont="1" applyBorder="1" applyAlignment="1">
      <alignment horizontal="center"/>
    </xf>
    <xf numFmtId="166" fontId="5" fillId="0" borderId="7" xfId="0" applyFont="1" applyBorder="1"/>
    <xf numFmtId="174" fontId="5" fillId="0" borderId="0" xfId="0" applyNumberFormat="1" applyFont="1" applyAlignment="1">
      <alignment horizontal="center"/>
    </xf>
    <xf numFmtId="3" fontId="5" fillId="6" borderId="0" xfId="0" applyNumberFormat="1" applyFont="1" applyFill="1" applyAlignment="1">
      <alignment horizontal="center"/>
    </xf>
    <xf numFmtId="9" fontId="5" fillId="0" borderId="0" xfId="0" applyNumberFormat="1" applyFont="1" applyFill="1" applyBorder="1" applyAlignment="1">
      <alignment horizontal="center"/>
    </xf>
    <xf numFmtId="7" fontId="5" fillId="0" borderId="0" xfId="3" applyNumberFormat="1" applyFont="1" applyFill="1" applyBorder="1" applyAlignment="1">
      <alignment horizontal="center"/>
    </xf>
    <xf numFmtId="166" fontId="6" fillId="3" borderId="0" xfId="0" applyFont="1" applyFill="1" applyAlignment="1">
      <alignment horizontal="center"/>
    </xf>
    <xf numFmtId="170" fontId="5" fillId="0" borderId="0" xfId="0" applyNumberFormat="1" applyFont="1" applyAlignment="1">
      <alignment horizontal="center"/>
    </xf>
    <xf numFmtId="168" fontId="5" fillId="0" borderId="0" xfId="0" applyNumberFormat="1" applyFont="1" applyFill="1" applyAlignment="1" applyProtection="1">
      <alignment horizontal="center" vertical="center"/>
    </xf>
    <xf numFmtId="0" fontId="5" fillId="0" borderId="0" xfId="0" applyNumberFormat="1" applyFont="1" applyFill="1" applyAlignment="1">
      <alignment horizontal="center"/>
    </xf>
    <xf numFmtId="179" fontId="6" fillId="0" borderId="0" xfId="0" applyNumberFormat="1" applyFont="1"/>
    <xf numFmtId="6" fontId="5" fillId="0" borderId="0" xfId="0" applyNumberFormat="1" applyFont="1" applyFill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9" fontId="5" fillId="0" borderId="9" xfId="0" applyNumberFormat="1" applyFont="1" applyBorder="1" applyAlignment="1">
      <alignment horizontal="center"/>
    </xf>
    <xf numFmtId="9" fontId="5" fillId="0" borderId="0" xfId="0" applyNumberFormat="1" applyFont="1" applyFill="1" applyAlignment="1" applyProtection="1">
      <alignment horizontal="center" vertical="center"/>
    </xf>
    <xf numFmtId="185" fontId="5" fillId="4" borderId="0" xfId="0" applyNumberFormat="1" applyFont="1" applyFill="1" applyAlignment="1">
      <alignment horizontal="center"/>
    </xf>
    <xf numFmtId="37" fontId="11" fillId="0" borderId="0" xfId="0" applyNumberFormat="1" applyFont="1" applyFill="1" applyAlignment="1" applyProtection="1">
      <alignment horizontal="left"/>
    </xf>
    <xf numFmtId="3" fontId="13" fillId="0" borderId="0" xfId="0" applyNumberFormat="1" applyFont="1" applyFill="1" applyAlignment="1">
      <alignment horizontal="left"/>
    </xf>
    <xf numFmtId="3" fontId="13" fillId="0" borderId="0" xfId="0" applyNumberFormat="1" applyFont="1" applyFill="1" applyAlignment="1">
      <alignment horizontal="left" wrapText="1"/>
    </xf>
    <xf numFmtId="174" fontId="5" fillId="0" borderId="0" xfId="0" applyNumberFormat="1" applyFont="1"/>
    <xf numFmtId="169" fontId="5" fillId="0" borderId="0" xfId="0" applyNumberFormat="1" applyFont="1" applyFill="1" applyAlignment="1">
      <alignment horizontal="center"/>
    </xf>
    <xf numFmtId="174" fontId="6" fillId="4" borderId="0" xfId="0" applyNumberFormat="1" applyFont="1" applyFill="1" applyAlignment="1">
      <alignment horizontal="center"/>
    </xf>
    <xf numFmtId="7" fontId="5" fillId="2" borderId="10" xfId="3" applyNumberFormat="1" applyFont="1" applyFill="1" applyBorder="1" applyAlignment="1">
      <alignment horizontal="center"/>
    </xf>
    <xf numFmtId="172" fontId="6" fillId="4" borderId="0" xfId="0" applyNumberFormat="1" applyFont="1" applyFill="1" applyAlignment="1">
      <alignment horizontal="center"/>
    </xf>
    <xf numFmtId="175" fontId="5" fillId="4" borderId="0" xfId="0" applyNumberFormat="1" applyFont="1" applyFill="1" applyAlignment="1">
      <alignment horizontal="center"/>
    </xf>
    <xf numFmtId="173" fontId="5" fillId="4" borderId="11" xfId="0" applyNumberFormat="1" applyFont="1" applyFill="1" applyBorder="1" applyAlignment="1">
      <alignment horizontal="center"/>
    </xf>
    <xf numFmtId="8" fontId="5" fillId="0" borderId="0" xfId="4" applyNumberFormat="1" applyFont="1" applyFill="1" applyAlignment="1">
      <alignment horizontal="center"/>
    </xf>
    <xf numFmtId="6" fontId="5" fillId="0" borderId="0" xfId="4" applyNumberFormat="1" applyFont="1" applyFill="1" applyAlignment="1">
      <alignment horizontal="center"/>
    </xf>
    <xf numFmtId="168" fontId="5" fillId="0" borderId="0" xfId="0" applyNumberFormat="1" applyFont="1" applyBorder="1" applyAlignment="1">
      <alignment horizontal="center"/>
    </xf>
    <xf numFmtId="181" fontId="9" fillId="0" borderId="0" xfId="1" applyNumberFormat="1" applyFont="1" applyFill="1" applyAlignment="1"/>
    <xf numFmtId="38" fontId="9" fillId="0" borderId="0" xfId="1" applyNumberFormat="1" applyFont="1" applyFill="1" applyAlignment="1">
      <alignment horizontal="center"/>
    </xf>
    <xf numFmtId="172" fontId="6" fillId="2" borderId="0" xfId="0" applyNumberFormat="1" applyFont="1" applyFill="1" applyAlignment="1">
      <alignment horizontal="center"/>
    </xf>
    <xf numFmtId="185" fontId="5" fillId="4" borderId="0" xfId="0" applyNumberFormat="1" applyFont="1" applyFill="1" applyBorder="1" applyAlignment="1">
      <alignment horizontal="center"/>
    </xf>
    <xf numFmtId="3" fontId="5" fillId="3" borderId="0" xfId="0" applyNumberFormat="1" applyFont="1" applyFill="1" applyBorder="1" applyAlignment="1">
      <alignment horizontal="center"/>
    </xf>
    <xf numFmtId="183" fontId="6" fillId="0" borderId="0" xfId="0" applyNumberFormat="1" applyFont="1" applyAlignment="1">
      <alignment horizontal="center"/>
    </xf>
    <xf numFmtId="166" fontId="5" fillId="7" borderId="0" xfId="0" applyFont="1" applyFill="1" applyAlignment="1">
      <alignment horizontal="left"/>
    </xf>
    <xf numFmtId="166" fontId="5" fillId="7" borderId="0" xfId="0" applyFont="1" applyFill="1" applyAlignment="1">
      <alignment horizontal="center"/>
    </xf>
    <xf numFmtId="166" fontId="6" fillId="3" borderId="0" xfId="0" applyFont="1" applyFill="1"/>
    <xf numFmtId="166" fontId="6" fillId="5" borderId="0" xfId="0" applyFont="1" applyFill="1" applyAlignment="1">
      <alignment horizontal="left"/>
    </xf>
    <xf numFmtId="6" fontId="6" fillId="5" borderId="0" xfId="0" applyNumberFormat="1" applyFont="1" applyFill="1" applyAlignment="1">
      <alignment horizontal="center"/>
    </xf>
    <xf numFmtId="9" fontId="5" fillId="0" borderId="7" xfId="0" applyNumberFormat="1" applyFont="1" applyBorder="1"/>
    <xf numFmtId="9" fontId="6" fillId="3" borderId="0" xfId="0" applyNumberFormat="1" applyFont="1" applyFill="1" applyBorder="1" applyAlignment="1">
      <alignment horizontal="center"/>
    </xf>
    <xf numFmtId="181" fontId="8" fillId="0" borderId="0" xfId="1" applyNumberFormat="1" applyFont="1" applyFill="1" applyAlignment="1">
      <alignment horizontal="center"/>
    </xf>
    <xf numFmtId="181" fontId="8" fillId="0" borderId="0" xfId="1" applyNumberFormat="1" applyFont="1" applyFill="1"/>
    <xf numFmtId="165" fontId="5" fillId="0" borderId="0" xfId="0" applyNumberFormat="1" applyFont="1" applyFill="1" applyAlignment="1">
      <alignment horizontal="center"/>
    </xf>
    <xf numFmtId="9" fontId="5" fillId="0" borderId="0" xfId="4" applyNumberFormat="1" applyFont="1" applyFill="1" applyAlignment="1">
      <alignment horizontal="center"/>
    </xf>
    <xf numFmtId="167" fontId="5" fillId="0" borderId="0" xfId="4" quotePrefix="1" applyNumberFormat="1" applyFont="1" applyFill="1" applyAlignment="1">
      <alignment horizontal="center"/>
    </xf>
    <xf numFmtId="166" fontId="5" fillId="0" borderId="5" xfId="0" quotePrefix="1" applyFont="1" applyBorder="1"/>
    <xf numFmtId="172" fontId="5" fillId="0" borderId="12" xfId="3" applyNumberFormat="1" applyFont="1" applyFill="1" applyBorder="1" applyAlignment="1">
      <alignment horizontal="center"/>
    </xf>
    <xf numFmtId="6" fontId="5" fillId="0" borderId="13" xfId="0" applyNumberFormat="1" applyFont="1" applyFill="1" applyBorder="1" applyAlignment="1">
      <alignment horizontal="center"/>
    </xf>
    <xf numFmtId="169" fontId="5" fillId="2" borderId="0" xfId="0" applyNumberFormat="1" applyFont="1" applyFill="1" applyAlignment="1">
      <alignment horizontal="center"/>
    </xf>
    <xf numFmtId="175" fontId="5" fillId="0" borderId="0" xfId="0" applyNumberFormat="1" applyFont="1" applyFill="1" applyBorder="1" applyAlignment="1">
      <alignment horizontal="center"/>
    </xf>
    <xf numFmtId="3" fontId="13" fillId="0" borderId="0" xfId="0" applyNumberFormat="1" applyFont="1" applyFill="1" applyAlignment="1">
      <alignment horizontal="center" wrapText="1"/>
    </xf>
    <xf numFmtId="164" fontId="5" fillId="0" borderId="0" xfId="0" applyNumberFormat="1" applyFont="1" applyFill="1" applyAlignment="1" applyProtection="1">
      <alignment horizontal="center"/>
    </xf>
    <xf numFmtId="166" fontId="6" fillId="0" borderId="0" xfId="0" quotePrefix="1" applyFont="1" applyFill="1" applyAlignment="1">
      <alignment horizontal="center"/>
    </xf>
    <xf numFmtId="166" fontId="7" fillId="0" borderId="0" xfId="0" applyFont="1" applyFill="1" applyAlignment="1">
      <alignment horizontal="left"/>
    </xf>
    <xf numFmtId="166" fontId="6" fillId="0" borderId="0" xfId="0" applyFont="1" applyFill="1"/>
    <xf numFmtId="166" fontId="6" fillId="0" borderId="14" xfId="0" applyFont="1" applyFill="1" applyBorder="1" applyAlignment="1">
      <alignment horizontal="left"/>
    </xf>
    <xf numFmtId="5" fontId="5" fillId="0" borderId="1" xfId="0" applyNumberFormat="1" applyFont="1" applyFill="1" applyBorder="1" applyAlignment="1" applyProtection="1">
      <alignment horizontal="center"/>
    </xf>
    <xf numFmtId="166" fontId="6" fillId="0" borderId="0" xfId="0" applyFont="1" applyFill="1" applyBorder="1" applyAlignment="1">
      <alignment horizontal="left"/>
    </xf>
    <xf numFmtId="5" fontId="6" fillId="0" borderId="0" xfId="0" applyNumberFormat="1" applyFont="1" applyFill="1" applyBorder="1" applyAlignment="1">
      <alignment horizontal="center"/>
    </xf>
    <xf numFmtId="168" fontId="5" fillId="0" borderId="0" xfId="0" applyNumberFormat="1" applyFont="1" applyFill="1"/>
    <xf numFmtId="173" fontId="5" fillId="0" borderId="0" xfId="0" applyNumberFormat="1" applyFont="1" applyFill="1"/>
    <xf numFmtId="6" fontId="5" fillId="0" borderId="0" xfId="1" applyNumberFormat="1" applyFont="1" applyFill="1" applyBorder="1" applyAlignment="1">
      <alignment horizontal="center"/>
    </xf>
    <xf numFmtId="9" fontId="5" fillId="0" borderId="0" xfId="0" applyNumberFormat="1" applyFont="1" applyBorder="1"/>
    <xf numFmtId="9" fontId="5" fillId="6" borderId="0" xfId="0" applyNumberFormat="1" applyFont="1" applyFill="1" applyAlignment="1">
      <alignment horizontal="center"/>
    </xf>
    <xf numFmtId="37" fontId="5" fillId="0" borderId="0" xfId="3" applyNumberFormat="1" applyFont="1" applyFill="1" applyBorder="1" applyAlignment="1">
      <alignment horizontal="center"/>
    </xf>
    <xf numFmtId="5" fontId="5" fillId="4" borderId="0" xfId="0" applyNumberFormat="1" applyFont="1" applyFill="1" applyAlignment="1">
      <alignment horizontal="center"/>
    </xf>
    <xf numFmtId="174" fontId="5" fillId="2" borderId="0" xfId="0" applyNumberFormat="1" applyFont="1" applyFill="1" applyAlignment="1">
      <alignment horizontal="center"/>
    </xf>
    <xf numFmtId="173" fontId="5" fillId="0" borderId="0" xfId="0" applyNumberFormat="1" applyFont="1" applyFill="1" applyAlignment="1">
      <alignment horizontal="left"/>
    </xf>
    <xf numFmtId="8" fontId="17" fillId="0" borderId="0" xfId="0" applyNumberFormat="1" applyFont="1" applyBorder="1" applyAlignment="1">
      <alignment horizontal="right"/>
    </xf>
    <xf numFmtId="173" fontId="6" fillId="0" borderId="0" xfId="0" applyNumberFormat="1" applyFont="1" applyBorder="1" applyAlignment="1">
      <alignment horizontal="center"/>
    </xf>
    <xf numFmtId="173" fontId="6" fillId="4" borderId="0" xfId="0" applyNumberFormat="1" applyFont="1" applyFill="1" applyBorder="1" applyAlignment="1">
      <alignment horizontal="center"/>
    </xf>
    <xf numFmtId="173" fontId="6" fillId="0" borderId="0" xfId="0" applyNumberFormat="1" applyFont="1" applyFill="1" applyBorder="1" applyAlignment="1">
      <alignment horizontal="left"/>
    </xf>
    <xf numFmtId="173" fontId="5" fillId="0" borderId="0" xfId="0" applyNumberFormat="1" applyFont="1" applyBorder="1" applyAlignment="1">
      <alignment horizontal="center"/>
    </xf>
    <xf numFmtId="166" fontId="5" fillId="0" borderId="0" xfId="0" applyFont="1" applyBorder="1"/>
    <xf numFmtId="184" fontId="5" fillId="0" borderId="0" xfId="0" applyNumberFormat="1" applyFont="1" applyAlignment="1">
      <alignment horizontal="center"/>
    </xf>
    <xf numFmtId="184" fontId="6" fillId="0" borderId="0" xfId="0" applyNumberFormat="1" applyFont="1" applyAlignment="1">
      <alignment horizontal="center"/>
    </xf>
    <xf numFmtId="184" fontId="5" fillId="2" borderId="0" xfId="0" applyNumberFormat="1" applyFont="1" applyFill="1" applyAlignment="1">
      <alignment horizontal="center"/>
    </xf>
    <xf numFmtId="184" fontId="5" fillId="0" borderId="0" xfId="0" applyNumberFormat="1" applyFont="1" applyFill="1" applyAlignment="1">
      <alignment horizontal="center"/>
    </xf>
    <xf numFmtId="170" fontId="5" fillId="0" borderId="0" xfId="0" applyNumberFormat="1" applyFont="1" applyFill="1" applyAlignment="1" applyProtection="1">
      <alignment horizontal="center"/>
    </xf>
    <xf numFmtId="14" fontId="5" fillId="0" borderId="0" xfId="0" applyNumberFormat="1" applyFont="1" applyAlignment="1">
      <alignment horizontal="center"/>
    </xf>
    <xf numFmtId="183" fontId="5" fillId="0" borderId="0" xfId="0" applyNumberFormat="1" applyFont="1" applyAlignment="1">
      <alignment horizontal="center"/>
    </xf>
    <xf numFmtId="174" fontId="5" fillId="0" borderId="0" xfId="0" applyNumberFormat="1" applyFont="1" applyFill="1" applyAlignment="1" applyProtection="1">
      <alignment horizontal="center"/>
    </xf>
    <xf numFmtId="1" fontId="5" fillId="0" borderId="0" xfId="0" applyNumberFormat="1" applyFont="1" applyAlignment="1">
      <alignment horizontal="left"/>
    </xf>
    <xf numFmtId="38" fontId="6" fillId="0" borderId="0" xfId="0" applyNumberFormat="1" applyFont="1" applyAlignment="1">
      <alignment horizontal="left"/>
    </xf>
    <xf numFmtId="171" fontId="5" fillId="0" borderId="0" xfId="0" applyNumberFormat="1" applyFont="1" applyFill="1" applyAlignment="1" applyProtection="1">
      <alignment horizontal="center"/>
    </xf>
    <xf numFmtId="169" fontId="5" fillId="0" borderId="0" xfId="0" applyNumberFormat="1" applyFont="1" applyFill="1" applyAlignment="1" applyProtection="1">
      <alignment horizontal="center"/>
    </xf>
    <xf numFmtId="173" fontId="6" fillId="3" borderId="0" xfId="0" applyNumberFormat="1" applyFont="1" applyFill="1"/>
    <xf numFmtId="9" fontId="5" fillId="3" borderId="0" xfId="0" applyNumberFormat="1" applyFont="1" applyFill="1"/>
    <xf numFmtId="173" fontId="5" fillId="3" borderId="0" xfId="0" applyNumberFormat="1" applyFont="1" applyFill="1"/>
    <xf numFmtId="3" fontId="6" fillId="3" borderId="0" xfId="0" applyNumberFormat="1" applyFont="1" applyFill="1"/>
    <xf numFmtId="168" fontId="5" fillId="3" borderId="0" xfId="0" applyNumberFormat="1" applyFont="1" applyFill="1" applyAlignment="1">
      <alignment horizontal="center"/>
    </xf>
    <xf numFmtId="3" fontId="5" fillId="3" borderId="0" xfId="0" applyNumberFormat="1" applyFont="1" applyFill="1"/>
    <xf numFmtId="3" fontId="18" fillId="4" borderId="0" xfId="0" applyNumberFormat="1" applyFont="1" applyFill="1" applyAlignment="1">
      <alignment horizontal="center"/>
    </xf>
    <xf numFmtId="166" fontId="6" fillId="4" borderId="0" xfId="0" applyFont="1" applyFill="1" applyAlignment="1">
      <alignment horizontal="left"/>
    </xf>
    <xf numFmtId="3" fontId="6" fillId="4" borderId="0" xfId="0" applyNumberFormat="1" applyFont="1" applyFill="1" applyAlignment="1">
      <alignment horizontal="left"/>
    </xf>
    <xf numFmtId="173" fontId="6" fillId="4" borderId="0" xfId="0" applyNumberFormat="1" applyFont="1" applyFill="1" applyBorder="1" applyAlignment="1">
      <alignment horizontal="left"/>
    </xf>
    <xf numFmtId="173" fontId="6" fillId="4" borderId="0" xfId="0" applyNumberFormat="1" applyFont="1" applyFill="1" applyAlignment="1">
      <alignment horizontal="left"/>
    </xf>
    <xf numFmtId="166" fontId="6" fillId="0" borderId="0" xfId="0" applyFont="1" applyFill="1" applyBorder="1" applyAlignment="1">
      <alignment horizontal="center"/>
    </xf>
    <xf numFmtId="166" fontId="5" fillId="4" borderId="0" xfId="0" applyFont="1" applyFill="1"/>
    <xf numFmtId="177" fontId="6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horizontal="center"/>
    </xf>
    <xf numFmtId="5" fontId="5" fillId="2" borderId="0" xfId="0" applyNumberFormat="1" applyFont="1" applyFill="1" applyAlignment="1">
      <alignment horizontal="center"/>
    </xf>
    <xf numFmtId="173" fontId="5" fillId="4" borderId="0" xfId="1" applyNumberFormat="1" applyFont="1" applyFill="1" applyBorder="1" applyAlignment="1">
      <alignment horizontal="center"/>
    </xf>
    <xf numFmtId="172" fontId="5" fillId="4" borderId="0" xfId="0" applyNumberFormat="1" applyFont="1" applyFill="1" applyBorder="1" applyAlignment="1">
      <alignment horizontal="center"/>
    </xf>
    <xf numFmtId="172" fontId="5" fillId="4" borderId="0" xfId="2" applyNumberFormat="1" applyFont="1" applyFill="1" applyBorder="1" applyAlignment="1">
      <alignment horizontal="center"/>
    </xf>
    <xf numFmtId="7" fontId="5" fillId="4" borderId="0" xfId="0" applyNumberFormat="1" applyFont="1" applyFill="1" applyAlignment="1" applyProtection="1">
      <alignment horizontal="center"/>
    </xf>
    <xf numFmtId="8" fontId="5" fillId="4" borderId="0" xfId="0" applyNumberFormat="1" applyFont="1" applyFill="1" applyAlignment="1">
      <alignment horizontal="center"/>
    </xf>
    <xf numFmtId="7" fontId="5" fillId="4" borderId="0" xfId="0" applyNumberFormat="1" applyFont="1" applyFill="1" applyAlignment="1">
      <alignment horizontal="center"/>
    </xf>
    <xf numFmtId="181" fontId="9" fillId="4" borderId="0" xfId="1" applyNumberFormat="1" applyFont="1" applyFill="1" applyAlignment="1">
      <alignment horizontal="center"/>
    </xf>
    <xf numFmtId="172" fontId="5" fillId="4" borderId="0" xfId="4" applyNumberFormat="1" applyFont="1" applyFill="1" applyAlignment="1">
      <alignment horizontal="center"/>
    </xf>
    <xf numFmtId="5" fontId="5" fillId="4" borderId="0" xfId="4" applyNumberFormat="1" applyFont="1" applyFill="1" applyAlignment="1">
      <alignment horizontal="center"/>
    </xf>
    <xf numFmtId="3" fontId="5" fillId="4" borderId="0" xfId="4" applyNumberFormat="1" applyFont="1" applyFill="1" applyAlignment="1">
      <alignment horizontal="center"/>
    </xf>
    <xf numFmtId="8" fontId="5" fillId="2" borderId="0" xfId="0" applyNumberFormat="1" applyFont="1" applyFill="1" applyAlignment="1">
      <alignment horizontal="center"/>
    </xf>
    <xf numFmtId="172" fontId="5" fillId="2" borderId="0" xfId="0" applyNumberFormat="1" applyFont="1" applyFill="1" applyAlignment="1" applyProtection="1">
      <alignment horizontal="center"/>
    </xf>
    <xf numFmtId="174" fontId="5" fillId="3" borderId="0" xfId="0" applyNumberFormat="1" applyFont="1" applyFill="1" applyAlignment="1">
      <alignment horizontal="center"/>
    </xf>
    <xf numFmtId="181" fontId="9" fillId="4" borderId="0" xfId="1" applyNumberFormat="1" applyFont="1" applyFill="1" applyBorder="1" applyAlignment="1">
      <alignment horizontal="center"/>
    </xf>
    <xf numFmtId="186" fontId="5" fillId="0" borderId="8" xfId="0" applyNumberFormat="1" applyFont="1" applyBorder="1" applyAlignment="1">
      <alignment horizontal="left"/>
    </xf>
    <xf numFmtId="172" fontId="5" fillId="0" borderId="8" xfId="0" applyNumberFormat="1" applyFont="1" applyBorder="1" applyAlignment="1">
      <alignment horizontal="center"/>
    </xf>
    <xf numFmtId="8" fontId="5" fillId="0" borderId="8" xfId="0" applyNumberFormat="1" applyFont="1" applyBorder="1" applyAlignment="1">
      <alignment horizontal="center"/>
    </xf>
    <xf numFmtId="6" fontId="5" fillId="0" borderId="9" xfId="0" applyNumberFormat="1" applyFont="1" applyBorder="1" applyAlignment="1">
      <alignment horizontal="center"/>
    </xf>
    <xf numFmtId="173" fontId="6" fillId="2" borderId="0" xfId="0" applyNumberFormat="1" applyFont="1" applyFill="1" applyAlignment="1">
      <alignment horizontal="center"/>
    </xf>
    <xf numFmtId="179" fontId="5" fillId="0" borderId="0" xfId="0" applyNumberFormat="1" applyFont="1"/>
    <xf numFmtId="38" fontId="5" fillId="4" borderId="0" xfId="0" applyNumberFormat="1" applyFont="1" applyFill="1" applyBorder="1" applyAlignment="1">
      <alignment horizontal="center"/>
    </xf>
    <xf numFmtId="8" fontId="6" fillId="0" borderId="0" xfId="0" applyNumberFormat="1" applyFont="1" applyFill="1" applyBorder="1" applyAlignment="1">
      <alignment horizontal="center"/>
    </xf>
    <xf numFmtId="44" fontId="5" fillId="0" borderId="0" xfId="0" applyNumberFormat="1" applyFont="1" applyBorder="1" applyAlignment="1">
      <alignment horizontal="right"/>
    </xf>
    <xf numFmtId="38" fontId="5" fillId="2" borderId="0" xfId="0" applyNumberFormat="1" applyFont="1" applyFill="1" applyAlignment="1">
      <alignment horizontal="center"/>
    </xf>
    <xf numFmtId="174" fontId="5" fillId="4" borderId="0" xfId="0" applyNumberFormat="1" applyFont="1" applyFill="1" applyAlignment="1">
      <alignment horizontal="center"/>
    </xf>
    <xf numFmtId="166" fontId="5" fillId="8" borderId="0" xfId="0" applyFont="1" applyFill="1" applyAlignment="1">
      <alignment horizontal="center"/>
    </xf>
    <xf numFmtId="172" fontId="5" fillId="8" borderId="0" xfId="0" applyNumberFormat="1" applyFont="1" applyFill="1" applyAlignment="1">
      <alignment horizontal="center"/>
    </xf>
    <xf numFmtId="181" fontId="5" fillId="4" borderId="0" xfId="1" applyNumberFormat="1" applyFont="1" applyFill="1" applyAlignment="1">
      <alignment horizontal="center"/>
    </xf>
    <xf numFmtId="6" fontId="5" fillId="4" borderId="0" xfId="0" applyNumberFormat="1" applyFont="1" applyFill="1" applyAlignment="1">
      <alignment horizontal="center"/>
    </xf>
    <xf numFmtId="3" fontId="5" fillId="4" borderId="0" xfId="0" applyNumberFormat="1" applyFont="1" applyFill="1" applyAlignment="1" applyProtection="1">
      <alignment horizontal="center"/>
    </xf>
    <xf numFmtId="174" fontId="6" fillId="4" borderId="0" xfId="0" applyNumberFormat="1" applyFont="1" applyFill="1" applyBorder="1" applyAlignment="1">
      <alignment horizontal="center"/>
    </xf>
    <xf numFmtId="172" fontId="6" fillId="4" borderId="0" xfId="0" applyNumberFormat="1" applyFont="1" applyFill="1" applyBorder="1" applyAlignment="1">
      <alignment horizontal="center"/>
    </xf>
    <xf numFmtId="38" fontId="5" fillId="4" borderId="0" xfId="4" applyNumberFormat="1" applyFont="1" applyFill="1" applyAlignment="1">
      <alignment horizontal="center"/>
    </xf>
    <xf numFmtId="181" fontId="9" fillId="4" borderId="0" xfId="1" applyNumberFormat="1" applyFont="1" applyFill="1" applyAlignment="1"/>
    <xf numFmtId="182" fontId="5" fillId="4" borderId="0" xfId="0" applyNumberFormat="1" applyFont="1" applyFill="1" applyAlignment="1">
      <alignment horizontal="center"/>
    </xf>
    <xf numFmtId="7" fontId="5" fillId="0" borderId="10" xfId="3" applyNumberFormat="1" applyFont="1" applyFill="1" applyBorder="1" applyAlignment="1">
      <alignment horizontal="center"/>
    </xf>
    <xf numFmtId="3" fontId="5" fillId="9" borderId="0" xfId="0" applyNumberFormat="1" applyFont="1" applyFill="1" applyBorder="1" applyAlignment="1">
      <alignment horizontal="center"/>
    </xf>
    <xf numFmtId="3" fontId="14" fillId="9" borderId="0" xfId="0" applyNumberFormat="1" applyFont="1" applyFill="1" applyBorder="1" applyAlignment="1">
      <alignment horizontal="center"/>
    </xf>
    <xf numFmtId="172" fontId="5" fillId="9" borderId="0" xfId="0" applyNumberFormat="1" applyFont="1" applyFill="1" applyAlignment="1" applyProtection="1">
      <alignment horizontal="center"/>
    </xf>
    <xf numFmtId="173" fontId="5" fillId="9" borderId="0" xfId="0" applyNumberFormat="1" applyFont="1" applyFill="1" applyAlignment="1">
      <alignment horizontal="center"/>
    </xf>
    <xf numFmtId="38" fontId="5" fillId="9" borderId="0" xfId="0" applyNumberFormat="1" applyFont="1" applyFill="1" applyAlignment="1">
      <alignment horizontal="center"/>
    </xf>
    <xf numFmtId="3" fontId="5" fillId="9" borderId="0" xfId="0" applyNumberFormat="1" applyFont="1" applyFill="1" applyAlignment="1">
      <alignment horizontal="center"/>
    </xf>
    <xf numFmtId="5" fontId="5" fillId="9" borderId="0" xfId="0" applyNumberFormat="1" applyFont="1" applyFill="1" applyAlignment="1">
      <alignment horizontal="center"/>
    </xf>
    <xf numFmtId="172" fontId="5" fillId="9" borderId="0" xfId="0" applyNumberFormat="1" applyFont="1" applyFill="1" applyAlignment="1">
      <alignment horizontal="center"/>
    </xf>
    <xf numFmtId="8" fontId="5" fillId="9" borderId="0" xfId="0" applyNumberFormat="1" applyFont="1" applyFill="1" applyAlignment="1">
      <alignment horizontal="center"/>
    </xf>
    <xf numFmtId="3" fontId="6" fillId="10" borderId="0" xfId="0" applyNumberFormat="1" applyFont="1" applyFill="1" applyAlignment="1">
      <alignment horizontal="center"/>
    </xf>
    <xf numFmtId="3" fontId="6" fillId="0" borderId="0" xfId="0" applyNumberFormat="1" applyFont="1" applyFill="1" applyAlignment="1">
      <alignment horizontal="center" wrapText="1" shrinkToFit="1"/>
    </xf>
    <xf numFmtId="3" fontId="6" fillId="11" borderId="0" xfId="0" applyNumberFormat="1" applyFont="1" applyFill="1" applyAlignment="1" applyProtection="1">
      <alignment horizontal="center" vertical="center"/>
    </xf>
    <xf numFmtId="166" fontId="6" fillId="0" borderId="0" xfId="0" applyFont="1" applyBorder="1"/>
    <xf numFmtId="166" fontId="5" fillId="0" borderId="0" xfId="0" applyFont="1" applyFill="1" applyBorder="1"/>
    <xf numFmtId="184" fontId="6" fillId="0" borderId="0" xfId="0" applyNumberFormat="1" applyFont="1" applyBorder="1" applyAlignment="1">
      <alignment horizontal="center"/>
    </xf>
    <xf numFmtId="172" fontId="5" fillId="0" borderId="0" xfId="0" applyNumberFormat="1" applyFont="1" applyBorder="1" applyAlignment="1">
      <alignment horizontal="left"/>
    </xf>
    <xf numFmtId="6" fontId="5" fillId="0" borderId="0" xfId="0" applyNumberFormat="1" applyFont="1" applyBorder="1"/>
    <xf numFmtId="3" fontId="5" fillId="12" borderId="0" xfId="0" applyNumberFormat="1" applyFont="1" applyFill="1" applyAlignment="1">
      <alignment horizontal="center"/>
    </xf>
    <xf numFmtId="172" fontId="5" fillId="12" borderId="0" xfId="0" applyNumberFormat="1" applyFont="1" applyFill="1" applyAlignment="1">
      <alignment horizontal="center"/>
    </xf>
    <xf numFmtId="5" fontId="5" fillId="12" borderId="0" xfId="0" applyNumberFormat="1" applyFont="1" applyFill="1" applyAlignment="1">
      <alignment horizontal="center"/>
    </xf>
    <xf numFmtId="3" fontId="5" fillId="12" borderId="0" xfId="1" applyNumberFormat="1" applyFont="1" applyFill="1" applyBorder="1" applyAlignment="1">
      <alignment horizontal="center"/>
    </xf>
    <xf numFmtId="173" fontId="5" fillId="12" borderId="0" xfId="1" applyNumberFormat="1" applyFont="1" applyFill="1" applyBorder="1" applyAlignment="1">
      <alignment horizontal="center"/>
    </xf>
    <xf numFmtId="173" fontId="5" fillId="12" borderId="0" xfId="0" applyNumberFormat="1" applyFont="1" applyFill="1" applyAlignment="1">
      <alignment horizontal="center"/>
    </xf>
    <xf numFmtId="38" fontId="5" fillId="12" borderId="0" xfId="0" applyNumberFormat="1" applyFont="1" applyFill="1" applyAlignment="1">
      <alignment horizontal="center"/>
    </xf>
    <xf numFmtId="8" fontId="5" fillId="12" borderId="0" xfId="0" applyNumberFormat="1" applyFont="1" applyFill="1" applyAlignment="1">
      <alignment horizontal="center"/>
    </xf>
    <xf numFmtId="7" fontId="5" fillId="12" borderId="0" xfId="0" applyNumberFormat="1" applyFont="1" applyFill="1" applyAlignment="1" applyProtection="1">
      <alignment horizontal="center"/>
    </xf>
    <xf numFmtId="7" fontId="5" fillId="12" borderId="0" xfId="0" applyNumberFormat="1" applyFont="1" applyFill="1" applyAlignment="1">
      <alignment horizontal="center"/>
    </xf>
    <xf numFmtId="6" fontId="5" fillId="12" borderId="0" xfId="0" applyNumberFormat="1" applyFont="1" applyFill="1" applyAlignment="1">
      <alignment horizontal="center"/>
    </xf>
    <xf numFmtId="181" fontId="9" fillId="12" borderId="0" xfId="1" applyNumberFormat="1" applyFont="1" applyFill="1" applyAlignment="1">
      <alignment horizontal="center"/>
    </xf>
    <xf numFmtId="172" fontId="5" fillId="12" borderId="0" xfId="4" applyNumberFormat="1" applyFont="1" applyFill="1" applyAlignment="1">
      <alignment horizontal="center"/>
    </xf>
    <xf numFmtId="5" fontId="5" fillId="12" borderId="0" xfId="4" applyNumberFormat="1" applyFont="1" applyFill="1" applyAlignment="1">
      <alignment horizontal="center"/>
    </xf>
    <xf numFmtId="38" fontId="5" fillId="12" borderId="0" xfId="4" applyNumberFormat="1" applyFont="1" applyFill="1" applyAlignment="1">
      <alignment horizontal="center"/>
    </xf>
    <xf numFmtId="174" fontId="5" fillId="12" borderId="0" xfId="0" applyNumberFormat="1" applyFont="1" applyFill="1" applyAlignment="1">
      <alignment horizontal="center"/>
    </xf>
    <xf numFmtId="3" fontId="5" fillId="12" borderId="0" xfId="4" applyNumberFormat="1" applyFont="1" applyFill="1" applyAlignment="1">
      <alignment horizontal="center"/>
    </xf>
    <xf numFmtId="166" fontId="5" fillId="11" borderId="0" xfId="0" applyFont="1" applyFill="1" applyAlignment="1">
      <alignment horizontal="center"/>
    </xf>
    <xf numFmtId="172" fontId="5" fillId="11" borderId="0" xfId="0" applyNumberFormat="1" applyFont="1" applyFill="1" applyAlignment="1">
      <alignment horizontal="center"/>
    </xf>
    <xf numFmtId="172" fontId="6" fillId="12" borderId="0" xfId="0" applyNumberFormat="1" applyFont="1" applyFill="1" applyAlignment="1">
      <alignment horizontal="center"/>
    </xf>
    <xf numFmtId="173" fontId="5" fillId="13" borderId="0" xfId="0" applyNumberFormat="1" applyFont="1" applyFill="1" applyAlignment="1">
      <alignment horizontal="center"/>
    </xf>
    <xf numFmtId="168" fontId="5" fillId="0" borderId="0" xfId="0" applyNumberFormat="1" applyFont="1" applyFill="1" applyAlignment="1" applyProtection="1">
      <alignment horizontal="center"/>
    </xf>
    <xf numFmtId="166" fontId="5" fillId="9" borderId="0" xfId="0" applyFont="1" applyFill="1" applyAlignment="1">
      <alignment horizontal="center"/>
    </xf>
    <xf numFmtId="173" fontId="6" fillId="14" borderId="0" xfId="0" applyNumberFormat="1" applyFont="1" applyFill="1" applyAlignment="1">
      <alignment horizontal="center"/>
    </xf>
    <xf numFmtId="166" fontId="6" fillId="14" borderId="0" xfId="0" applyFont="1" applyFill="1" applyAlignment="1">
      <alignment horizontal="left"/>
    </xf>
    <xf numFmtId="8" fontId="5" fillId="14" borderId="0" xfId="0" applyNumberFormat="1" applyFont="1" applyFill="1" applyAlignment="1">
      <alignment horizontal="center"/>
    </xf>
    <xf numFmtId="173" fontId="5" fillId="14" borderId="0" xfId="0" applyNumberFormat="1" applyFont="1" applyFill="1" applyAlignment="1">
      <alignment horizontal="center"/>
    </xf>
    <xf numFmtId="166" fontId="5" fillId="14" borderId="0" xfId="0" applyFont="1" applyFill="1" applyAlignment="1">
      <alignment horizontal="center"/>
    </xf>
    <xf numFmtId="166" fontId="5" fillId="14" borderId="0" xfId="0" applyFont="1" applyFill="1"/>
  </cellXfs>
  <cellStyles count="5">
    <cellStyle name="Comma" xfId="1" builtinId="3"/>
    <cellStyle name="Currency" xfId="2" builtinId="4"/>
    <cellStyle name="Normal" xfId="0" builtinId="0"/>
    <cellStyle name="Normal_HEDGING HISTORY" xfId="3"/>
    <cellStyle name="Normal_PIPELINE COSTS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99FF"/>
      <color rgb="FFCC00FF"/>
      <color rgb="FFCCFFCC"/>
      <color rgb="FF99FFCC"/>
      <color rgb="FF00FF00"/>
      <color rgb="FFCCFFFF"/>
      <color rgb="FFFF7C80"/>
      <color rgb="FF99FF99"/>
      <color rgb="FF66FF33"/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sharedStrings" Target="sharedStrings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0203 PGC Monthly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43107968"/>
        <c:axId val="143114240"/>
      </c:lineChart>
      <c:catAx>
        <c:axId val="143107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3114240"/>
        <c:crosses val="autoZero"/>
        <c:auto val="1"/>
        <c:lblAlgn val="ctr"/>
        <c:lblOffset val="100"/>
        <c:tickLblSkip val="1"/>
        <c:tickMarkSkip val="1"/>
      </c:catAx>
      <c:valAx>
        <c:axId val="1431142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310796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 horizontalDpi="1200" verticalDpi="12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0203 Cumulative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43147392"/>
        <c:axId val="143149312"/>
      </c:lineChart>
      <c:catAx>
        <c:axId val="143147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3149312"/>
        <c:crosses val="autoZero"/>
        <c:auto val="1"/>
        <c:lblAlgn val="ctr"/>
        <c:lblOffset val="100"/>
        <c:tickLblSkip val="1"/>
        <c:tickMarkSkip val="1"/>
      </c:catAx>
      <c:valAx>
        <c:axId val="1431493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31473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 horizontalDpi="1200" verticalDpi="12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0203 PGC Unit Cost vs Rate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482240"/>
        <c:axId val="159484160"/>
      </c:lineChart>
      <c:catAx>
        <c:axId val="159482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84160"/>
        <c:crosses val="autoZero"/>
        <c:auto val="1"/>
        <c:lblAlgn val="ctr"/>
        <c:lblOffset val="100"/>
        <c:tickLblSkip val="1"/>
        <c:tickMarkSkip val="1"/>
      </c:catAx>
      <c:valAx>
        <c:axId val="1594841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822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 horizontalDpi="1200" verticalDpi="12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0203 PGC Monthly and Cumulative Cost Recovery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619712"/>
        <c:axId val="159630080"/>
      </c:lineChart>
      <c:catAx>
        <c:axId val="159619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630080"/>
        <c:crosses val="autoZero"/>
        <c:auto val="1"/>
        <c:lblAlgn val="ctr"/>
        <c:lblOffset val="100"/>
        <c:tickLblSkip val="1"/>
        <c:tickMarkSkip val="1"/>
      </c:catAx>
      <c:valAx>
        <c:axId val="159630080"/>
        <c:scaling>
          <c:orientation val="minMax"/>
          <c:max val="7.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619712"/>
        <c:crosses val="autoZero"/>
        <c:crossBetween val="between"/>
        <c:majorUnit val="1"/>
        <c:minorUnit val="0.25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 horizontalDpi="1200" verticalDpi="12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0304 PGC Unit Cost vs Rate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60819840"/>
        <c:axId val="161755904"/>
      </c:lineChart>
      <c:catAx>
        <c:axId val="1608198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755904"/>
        <c:crosses val="autoZero"/>
        <c:auto val="1"/>
        <c:lblAlgn val="ctr"/>
        <c:lblOffset val="100"/>
        <c:tickLblSkip val="1"/>
        <c:tickMarkSkip val="1"/>
      </c:catAx>
      <c:valAx>
        <c:axId val="1617559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8198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0304 PGC Monthly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1625984"/>
        <c:axId val="181627904"/>
      </c:lineChart>
      <c:catAx>
        <c:axId val="1816259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627904"/>
        <c:crosses val="autoZero"/>
        <c:auto val="1"/>
        <c:lblAlgn val="ctr"/>
        <c:lblOffset val="100"/>
        <c:tickLblSkip val="1"/>
        <c:tickMarkSkip val="1"/>
      </c:catAx>
      <c:valAx>
        <c:axId val="1816279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6259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0304 Cumulative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1665152"/>
        <c:axId val="181687808"/>
      </c:lineChart>
      <c:catAx>
        <c:axId val="181665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687808"/>
        <c:crosses val="autoZero"/>
        <c:auto val="1"/>
        <c:lblAlgn val="ctr"/>
        <c:lblOffset val="100"/>
        <c:tickLblSkip val="1"/>
        <c:tickMarkSkip val="1"/>
      </c:catAx>
      <c:valAx>
        <c:axId val="1816878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6651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0304 PGC Monthly and Cumulative Cost Recovery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1708672"/>
        <c:axId val="181723136"/>
      </c:lineChart>
      <c:catAx>
        <c:axId val="181708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23136"/>
        <c:crosses val="autoZero"/>
        <c:auto val="1"/>
        <c:lblAlgn val="ctr"/>
        <c:lblOffset val="100"/>
        <c:tickLblSkip val="1"/>
        <c:tickMarkSkip val="1"/>
      </c:catAx>
      <c:valAx>
        <c:axId val="18172313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08672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 horizontalDpi="1200" verticalDpi="120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Unit Cost vs Rate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1892992"/>
        <c:axId val="181911552"/>
      </c:lineChart>
      <c:catAx>
        <c:axId val="181892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11552"/>
        <c:crosses val="autoZero"/>
        <c:auto val="1"/>
        <c:lblAlgn val="ctr"/>
        <c:lblOffset val="100"/>
        <c:tickLblSkip val="1"/>
        <c:tickMarkSkip val="1"/>
      </c:catAx>
      <c:valAx>
        <c:axId val="1819115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929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Monthly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2608256"/>
        <c:axId val="182610176"/>
      </c:lineChart>
      <c:catAx>
        <c:axId val="182608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610176"/>
        <c:crosses val="autoZero"/>
        <c:auto val="1"/>
        <c:lblAlgn val="ctr"/>
        <c:lblOffset val="100"/>
        <c:tickLblSkip val="1"/>
        <c:tickMarkSkip val="1"/>
      </c:catAx>
      <c:valAx>
        <c:axId val="1826101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6082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Cumulative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2631040"/>
        <c:axId val="182895360"/>
      </c:lineChart>
      <c:catAx>
        <c:axId val="1826310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895360"/>
        <c:crosses val="autoZero"/>
        <c:auto val="1"/>
        <c:lblAlgn val="ctr"/>
        <c:lblOffset val="100"/>
        <c:tickLblSkip val="1"/>
        <c:tickMarkSkip val="1"/>
      </c:catAx>
      <c:valAx>
        <c:axId val="1828953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6310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Monthly and Cumulative Cost Recovery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3002240"/>
        <c:axId val="183004160"/>
      </c:lineChart>
      <c:catAx>
        <c:axId val="183002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004160"/>
        <c:crosses val="autoZero"/>
        <c:auto val="1"/>
        <c:lblAlgn val="ctr"/>
        <c:lblOffset val="100"/>
        <c:tickLblSkip val="1"/>
        <c:tickMarkSkip val="1"/>
      </c:catAx>
      <c:valAx>
        <c:axId val="1830041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002240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 horizontalDpi="1200" verticalDpi="120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Metered Mcfs vs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3046144"/>
        <c:axId val="183047680"/>
      </c:barChart>
      <c:catAx>
        <c:axId val="1830461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047680"/>
        <c:crosses val="autoZero"/>
        <c:auto val="1"/>
        <c:lblAlgn val="ctr"/>
        <c:lblOffset val="100"/>
        <c:tickLblSkip val="1"/>
        <c:tickMarkSkip val="1"/>
      </c:catAx>
      <c:valAx>
        <c:axId val="1830476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0461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Unit Cost vs Rate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3070080"/>
        <c:axId val="183096832"/>
      </c:lineChart>
      <c:catAx>
        <c:axId val="1830700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096832"/>
        <c:crosses val="autoZero"/>
        <c:auto val="1"/>
        <c:lblAlgn val="ctr"/>
        <c:lblOffset val="100"/>
        <c:tickLblSkip val="1"/>
        <c:tickMarkSkip val="1"/>
      </c:catAx>
      <c:valAx>
        <c:axId val="1830968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0700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Monthly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3191424"/>
        <c:axId val="183209984"/>
      </c:lineChart>
      <c:catAx>
        <c:axId val="183191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209984"/>
        <c:crosses val="autoZero"/>
        <c:auto val="1"/>
        <c:lblAlgn val="ctr"/>
        <c:lblOffset val="100"/>
        <c:tickLblSkip val="1"/>
        <c:tickMarkSkip val="1"/>
      </c:catAx>
      <c:valAx>
        <c:axId val="1832099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1914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Cumulative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3509376"/>
        <c:axId val="183511296"/>
      </c:lineChart>
      <c:catAx>
        <c:axId val="183509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511296"/>
        <c:crosses val="autoZero"/>
        <c:auto val="1"/>
        <c:lblAlgn val="ctr"/>
        <c:lblOffset val="100"/>
        <c:tickLblSkip val="1"/>
        <c:tickMarkSkip val="1"/>
      </c:catAx>
      <c:valAx>
        <c:axId val="1835112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50937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Monthly and Cumulative Cost Recovery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83540352"/>
        <c:axId val="183554816"/>
      </c:lineChart>
      <c:catAx>
        <c:axId val="183540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554816"/>
        <c:crosses val="autoZero"/>
        <c:auto val="1"/>
        <c:lblAlgn val="ctr"/>
        <c:lblOffset val="100"/>
        <c:tickLblSkip val="1"/>
        <c:tickMarkSkip val="1"/>
      </c:catAx>
      <c:valAx>
        <c:axId val="1835548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540352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Cost &amp; Revenue</a:t>
            </a:r>
          </a:p>
        </c:rich>
      </c:tx>
      <c:layout>
        <c:manualLayout>
          <c:xMode val="edge"/>
          <c:yMode val="edge"/>
          <c:x val="0.37312149480427365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256419112320329"/>
          <c:y val="0.17823639774859501"/>
          <c:w val="0.8735639726700416"/>
          <c:h val="0.60975609756098348"/>
        </c:manualLayout>
      </c:layout>
      <c:lineChart>
        <c:grouping val="standard"/>
        <c:ser>
          <c:idx val="0"/>
          <c:order val="0"/>
          <c:tx>
            <c:strRef>
              <c:f>'PGC GRAPHS'!$A$60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GRAPHS'!$B$59:$M$59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GRAPHS'!$B$60:$M$60</c:f>
              <c:numCache>
                <c:formatCode>"$"#,##0.0</c:formatCode>
                <c:ptCount val="12"/>
                <c:pt idx="0">
                  <c:v>2.5001412336982143</c:v>
                </c:pt>
                <c:pt idx="1">
                  <c:v>2.5691610138458576</c:v>
                </c:pt>
                <c:pt idx="2">
                  <c:v>2.2222395925837044</c:v>
                </c:pt>
                <c:pt idx="3">
                  <c:v>3.4437910090660004</c:v>
                </c:pt>
                <c:pt idx="4">
                  <c:v>6.1776674055635468</c:v>
                </c:pt>
                <c:pt idx="5">
                  <c:v>14.68575954206695</c:v>
                </c:pt>
                <c:pt idx="6">
                  <c:v>14.179913158927064</c:v>
                </c:pt>
                <c:pt idx="7">
                  <c:v>8.9278142354719314</c:v>
                </c:pt>
                <c:pt idx="8">
                  <c:v>8.0398695580233852</c:v>
                </c:pt>
                <c:pt idx="9">
                  <c:v>4.8420037420622775</c:v>
                </c:pt>
                <c:pt idx="10">
                  <c:v>3.4779219917711957</c:v>
                </c:pt>
                <c:pt idx="11">
                  <c:v>2.5700560204578973</c:v>
                </c:pt>
              </c:numCache>
            </c:numRef>
          </c:val>
        </c:ser>
        <c:ser>
          <c:idx val="1"/>
          <c:order val="1"/>
          <c:tx>
            <c:strRef>
              <c:f>'PGC GRAPHS'!$A$62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GRAPHS'!$B$59:$M$59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GRAPHS'!$B$62:$M$62</c:f>
              <c:numCache>
                <c:formatCode>"$"#,##0.0</c:formatCode>
                <c:ptCount val="12"/>
                <c:pt idx="0">
                  <c:v>1.6917064799999999</c:v>
                </c:pt>
                <c:pt idx="1">
                  <c:v>1.806883641</c:v>
                </c:pt>
                <c:pt idx="2">
                  <c:v>1.9862073599999999</c:v>
                </c:pt>
                <c:pt idx="3">
                  <c:v>3.6103854899999996</c:v>
                </c:pt>
                <c:pt idx="4">
                  <c:v>8.5158663630000007</c:v>
                </c:pt>
                <c:pt idx="5">
                  <c:v>17.573902634</c:v>
                </c:pt>
                <c:pt idx="6">
                  <c:v>17.469238592</c:v>
                </c:pt>
                <c:pt idx="7">
                  <c:v>10.482709116000001</c:v>
                </c:pt>
                <c:pt idx="8">
                  <c:v>8.5011254639999994</c:v>
                </c:pt>
                <c:pt idx="9">
                  <c:v>4.013279356</c:v>
                </c:pt>
                <c:pt idx="10">
                  <c:v>2.2484609280000005</c:v>
                </c:pt>
                <c:pt idx="11">
                  <c:v>1.7395652620000002</c:v>
                </c:pt>
              </c:numCache>
            </c:numRef>
          </c:val>
        </c:ser>
        <c:marker val="1"/>
        <c:axId val="183616640"/>
        <c:axId val="183618560"/>
      </c:lineChart>
      <c:dateAx>
        <c:axId val="18361664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61856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36185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146748530323576E-2"/>
              <c:y val="0.42213892854036517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6166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297124049547093"/>
          <c:y val="0.93621013747550563"/>
          <c:w val="0.19186575479130824"/>
          <c:h val="5.065667961095510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YTD PGC Cost &amp; Revenue</a:t>
            </a:r>
          </a:p>
        </c:rich>
      </c:tx>
      <c:layout>
        <c:manualLayout>
          <c:xMode val="edge"/>
          <c:yMode val="edge"/>
          <c:x val="0.37004473555849782"/>
          <c:y val="3.174605527250270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7224819701300443E-2"/>
          <c:y val="0.19727934842543043"/>
          <c:w val="0.88634513757079814"/>
          <c:h val="0.51020521144507991"/>
        </c:manualLayout>
      </c:layout>
      <c:lineChart>
        <c:grouping val="standard"/>
        <c:ser>
          <c:idx val="0"/>
          <c:order val="0"/>
          <c:tx>
            <c:strRef>
              <c:f>'PGC GRAPHS'!$A$91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GRAPHS'!$B$90:$M$90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GRAPHS'!$B$91:$M$91</c:f>
              <c:numCache>
                <c:formatCode>"$"#,##0.0</c:formatCode>
                <c:ptCount val="12"/>
                <c:pt idx="0">
                  <c:v>2.5001412336982143</c:v>
                </c:pt>
                <c:pt idx="1">
                  <c:v>5.0693022475440728</c:v>
                </c:pt>
                <c:pt idx="2">
                  <c:v>7.2915418401277776</c:v>
                </c:pt>
                <c:pt idx="3">
                  <c:v>10.735332849193778</c:v>
                </c:pt>
                <c:pt idx="4">
                  <c:v>16.913000254757321</c:v>
                </c:pt>
                <c:pt idx="5">
                  <c:v>31.598759796824272</c:v>
                </c:pt>
                <c:pt idx="6">
                  <c:v>45.77867295575134</c:v>
                </c:pt>
                <c:pt idx="7">
                  <c:v>54.706487191223275</c:v>
                </c:pt>
                <c:pt idx="8">
                  <c:v>62.746356749246658</c:v>
                </c:pt>
                <c:pt idx="9">
                  <c:v>67.588360491308933</c:v>
                </c:pt>
                <c:pt idx="10">
                  <c:v>71.066282483080116</c:v>
                </c:pt>
                <c:pt idx="11">
                  <c:v>73.636338503538013</c:v>
                </c:pt>
              </c:numCache>
            </c:numRef>
          </c:val>
        </c:ser>
        <c:ser>
          <c:idx val="1"/>
          <c:order val="1"/>
          <c:tx>
            <c:strRef>
              <c:f>'PGC GRAPHS'!$A$92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GRAPHS'!$B$90:$M$90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GRAPHS'!$B$92:$M$92</c:f>
              <c:numCache>
                <c:formatCode>"$"#,##0.0</c:formatCode>
                <c:ptCount val="12"/>
                <c:pt idx="0">
                  <c:v>1.6917064799999999</c:v>
                </c:pt>
                <c:pt idx="1">
                  <c:v>3.4985901210000003</c:v>
                </c:pt>
                <c:pt idx="2">
                  <c:v>5.4847974810000002</c:v>
                </c:pt>
                <c:pt idx="3">
                  <c:v>9.0951829710000016</c:v>
                </c:pt>
                <c:pt idx="4">
                  <c:v>17.611049334</c:v>
                </c:pt>
                <c:pt idx="5">
                  <c:v>35.184951967999993</c:v>
                </c:pt>
                <c:pt idx="6">
                  <c:v>52.654190559999996</c:v>
                </c:pt>
                <c:pt idx="7">
                  <c:v>63.136899675999999</c:v>
                </c:pt>
                <c:pt idx="8">
                  <c:v>71.638025139999996</c:v>
                </c:pt>
                <c:pt idx="9">
                  <c:v>75.651304496000009</c:v>
                </c:pt>
                <c:pt idx="10">
                  <c:v>77.899765424000009</c:v>
                </c:pt>
                <c:pt idx="11">
                  <c:v>79.639330686000008</c:v>
                </c:pt>
              </c:numCache>
            </c:numRef>
          </c:val>
        </c:ser>
        <c:marker val="1"/>
        <c:axId val="205888896"/>
        <c:axId val="205948416"/>
      </c:lineChart>
      <c:dateAx>
        <c:axId val="20588889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94841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059484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096950270596638E-2"/>
              <c:y val="0.36281266018218916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8888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202717580656762"/>
          <c:y val="0.91610189902732742"/>
          <c:w val="0.21674048266090976"/>
          <c:h val="6.802729658792651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 PGC Monthly &amp; Cumulative Cost Recovery</a:t>
            </a:r>
          </a:p>
        </c:rich>
      </c:tx>
      <c:layout>
        <c:manualLayout>
          <c:xMode val="edge"/>
          <c:yMode val="edge"/>
          <c:x val="0.28735654046796588"/>
          <c:y val="2.85204627199377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7533232079285553E-2"/>
          <c:y val="0.16399315534681971"/>
          <c:w val="0.88594240952973868"/>
          <c:h val="0.7219263903854557"/>
        </c:manualLayout>
      </c:layout>
      <c:lineChart>
        <c:grouping val="standard"/>
        <c:ser>
          <c:idx val="0"/>
          <c:order val="0"/>
          <c:tx>
            <c:strRef>
              <c:f>'PGC GRAPHS'!$A$113</c:f>
              <c:strCache>
                <c:ptCount val="1"/>
                <c:pt idx="0">
                  <c:v>MONTH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elete val="1"/>
          </c:dLbls>
          <c:cat>
            <c:numRef>
              <c:f>'PGC GRAPHS'!$B$112:$M$112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GRAPHS'!$B$113:$M$113</c:f>
              <c:numCache>
                <c:formatCode>"$"#,##0.0</c:formatCode>
                <c:ptCount val="12"/>
                <c:pt idx="0">
                  <c:v>-0.93059763369821435</c:v>
                </c:pt>
                <c:pt idx="1">
                  <c:v>-0.96529025284585757</c:v>
                </c:pt>
                <c:pt idx="2">
                  <c:v>-0.3178275025837044</c:v>
                </c:pt>
                <c:pt idx="3">
                  <c:v>0.15967331093399925</c:v>
                </c:pt>
                <c:pt idx="4">
                  <c:v>2.2951809274364532</c:v>
                </c:pt>
                <c:pt idx="5">
                  <c:v>5.1436816919330486</c:v>
                </c:pt>
                <c:pt idx="6">
                  <c:v>3.2966047330729364</c:v>
                </c:pt>
                <c:pt idx="7">
                  <c:v>1.5548948805280682</c:v>
                </c:pt>
                <c:pt idx="8">
                  <c:v>0.421255905976614</c:v>
                </c:pt>
                <c:pt idx="9">
                  <c:v>-0.98372438606227697</c:v>
                </c:pt>
                <c:pt idx="10">
                  <c:v>-1.4144610637711952</c:v>
                </c:pt>
                <c:pt idx="11">
                  <c:v>-1.0204907584578973</c:v>
                </c:pt>
              </c:numCache>
            </c:numRef>
          </c:val>
        </c:ser>
        <c:ser>
          <c:idx val="1"/>
          <c:order val="1"/>
          <c:tx>
            <c:strRef>
              <c:f>'PGC GRAPHS'!$A$114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dLbls>
            <c:delete val="1"/>
          </c:dLbls>
          <c:cat>
            <c:numRef>
              <c:f>'PGC GRAPHS'!$B$112:$M$112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GRAPHS'!$B$114:$M$114</c:f>
              <c:numCache>
                <c:formatCode>"$"#,##0.0</c:formatCode>
                <c:ptCount val="12"/>
                <c:pt idx="0">
                  <c:v>0.1887314619704876</c:v>
                </c:pt>
                <c:pt idx="1">
                  <c:v>-0.77655879087536994</c:v>
                </c:pt>
                <c:pt idx="2">
                  <c:v>-1.0943862934590742</c:v>
                </c:pt>
                <c:pt idx="3">
                  <c:v>-0.93471298252507506</c:v>
                </c:pt>
                <c:pt idx="4">
                  <c:v>1.3604679449113781</c:v>
                </c:pt>
                <c:pt idx="5">
                  <c:v>6.5041496368444269</c:v>
                </c:pt>
                <c:pt idx="6">
                  <c:v>9.800754369917362</c:v>
                </c:pt>
                <c:pt idx="7">
                  <c:v>11.355649250445431</c:v>
                </c:pt>
                <c:pt idx="8">
                  <c:v>11.776905156422044</c:v>
                </c:pt>
                <c:pt idx="9">
                  <c:v>10.793180770359768</c:v>
                </c:pt>
                <c:pt idx="10">
                  <c:v>9.378719706588571</c:v>
                </c:pt>
                <c:pt idx="11">
                  <c:v>8.3582289481306749</c:v>
                </c:pt>
              </c:numCache>
            </c:numRef>
          </c:val>
        </c:ser>
        <c:dLbls>
          <c:showVal val="1"/>
        </c:dLbls>
        <c:marker val="1"/>
        <c:axId val="206296960"/>
        <c:axId val="224817152"/>
      </c:lineChart>
      <c:dateAx>
        <c:axId val="20629696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81715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48171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146748530323576E-2"/>
              <c:y val="0.45454632059881406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296960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0760427593087939"/>
          <c:y val="0.93404802177505597"/>
          <c:w val="0.24580038507620258"/>
          <c:h val="5.34760377175075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 vs Rate</a:t>
            </a:r>
          </a:p>
        </c:rich>
      </c:tx>
      <c:layout>
        <c:manualLayout>
          <c:xMode val="edge"/>
          <c:yMode val="edge"/>
          <c:x val="0.38701728978161637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489728841413322"/>
          <c:y val="0.18761726078799601"/>
          <c:w val="0.85209531635169777"/>
          <c:h val="0.63414634146341464"/>
        </c:manualLayout>
      </c:layout>
      <c:lineChart>
        <c:grouping val="standard"/>
        <c:ser>
          <c:idx val="0"/>
          <c:order val="0"/>
          <c:tx>
            <c:strRef>
              <c:f>'PGC GRAPHS'!$X$6</c:f>
              <c:strCache>
                <c:ptCount val="1"/>
                <c:pt idx="0">
                  <c:v>PGC UNIT COST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GRAPHS'!$Y$3:$AJ$3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GRAPHS'!$Y$6:$AJ$6</c:f>
              <c:numCache>
                <c:formatCode>"$"#,##0.00</c:formatCode>
                <c:ptCount val="12"/>
                <c:pt idx="0">
                  <c:v>12.20138273730754</c:v>
                </c:pt>
                <c:pt idx="1">
                  <c:v>12.222288269446139</c:v>
                </c:pt>
                <c:pt idx="2">
                  <c:v>10.578132897928985</c:v>
                </c:pt>
                <c:pt idx="3">
                  <c:v>7.2112315226668686</c:v>
                </c:pt>
                <c:pt idx="4">
                  <c:v>6.2867792382181111</c:v>
                </c:pt>
                <c:pt idx="5">
                  <c:v>6.0074420484118969</c:v>
                </c:pt>
                <c:pt idx="6">
                  <c:v>5.9475713835116082</c:v>
                </c:pt>
                <c:pt idx="7">
                  <c:v>6.1377372260140231</c:v>
                </c:pt>
                <c:pt idx="8">
                  <c:v>6.427105905001536</c:v>
                </c:pt>
                <c:pt idx="9">
                  <c:v>7.1998326128504662</c:v>
                </c:pt>
                <c:pt idx="10">
                  <c:v>9.1386282933140954</c:v>
                </c:pt>
                <c:pt idx="11">
                  <c:v>12.529201940498458</c:v>
                </c:pt>
              </c:numCache>
            </c:numRef>
          </c:val>
        </c:ser>
        <c:ser>
          <c:idx val="1"/>
          <c:order val="1"/>
          <c:tx>
            <c:strRef>
              <c:f>'PGC GRAPHS'!$X$8</c:f>
              <c:strCache>
                <c:ptCount val="1"/>
                <c:pt idx="0">
                  <c:v>PGC RATE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GRAPHS'!$Y$3:$AJ$3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GRAPHS'!$Y$8:$AJ$8</c:f>
              <c:numCache>
                <c:formatCode>"$"#,##0.00</c:formatCode>
                <c:ptCount val="12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</c:numCache>
            </c:numRef>
          </c:val>
        </c:ser>
        <c:ser>
          <c:idx val="2"/>
          <c:order val="2"/>
          <c:tx>
            <c:strRef>
              <c:f>'PGC GRAPHS'!$X$9</c:f>
              <c:strCache>
                <c:ptCount val="1"/>
                <c:pt idx="0">
                  <c:v>PGC UNIT COST (W/ AVG UNIT DEMAND) 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GRAPHS'!$Y$3:$AJ$3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GRAPHS'!$Y$9:$AJ$9</c:f>
              <c:numCache>
                <c:formatCode>"$"#,##0.00</c:formatCode>
                <c:ptCount val="12"/>
                <c:pt idx="0">
                  <c:v>6.7371970542684041</c:v>
                </c:pt>
                <c:pt idx="1">
                  <c:v>6.7581025864070021</c:v>
                </c:pt>
                <c:pt idx="2">
                  <c:v>6.4636720195600716</c:v>
                </c:pt>
                <c:pt idx="3">
                  <c:v>6.5559076725478151</c:v>
                </c:pt>
                <c:pt idx="4">
                  <c:v>6.6772919078114317</c:v>
                </c:pt>
                <c:pt idx="5">
                  <c:v>6.9053511559663319</c:v>
                </c:pt>
                <c:pt idx="6">
                  <c:v>6.9772674277160185</c:v>
                </c:pt>
                <c:pt idx="7">
                  <c:v>6.9670382524322436</c:v>
                </c:pt>
                <c:pt idx="8">
                  <c:v>6.9667834892342331</c:v>
                </c:pt>
                <c:pt idx="9">
                  <c:v>6.9367856100344465</c:v>
                </c:pt>
                <c:pt idx="10">
                  <c:v>6.8606578306941568</c:v>
                </c:pt>
                <c:pt idx="11">
                  <c:v>6.8185536724438132</c:v>
                </c:pt>
              </c:numCache>
            </c:numRef>
          </c:val>
        </c:ser>
        <c:ser>
          <c:idx val="3"/>
          <c:order val="3"/>
          <c:tx>
            <c:strRef>
              <c:f>'PGC GRAPHS'!$X$10</c:f>
              <c:strCache>
                <c:ptCount val="1"/>
                <c:pt idx="0">
                  <c:v>NYMEX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numRef>
              <c:f>'PGC GRAPHS'!$Y$3:$AJ$3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GRAPHS'!$Y$10:$AJ$10</c:f>
              <c:numCache>
                <c:formatCode>"$"#,##0.00</c:formatCode>
                <c:ptCount val="12"/>
                <c:pt idx="0">
                  <c:v>4.3570000000000002</c:v>
                </c:pt>
                <c:pt idx="1">
                  <c:v>4.37</c:v>
                </c:pt>
                <c:pt idx="2">
                  <c:v>3.9940000000000002</c:v>
                </c:pt>
                <c:pt idx="3">
                  <c:v>4.0149999999999997</c:v>
                </c:pt>
                <c:pt idx="4">
                  <c:v>4.1669999999999998</c:v>
                </c:pt>
                <c:pt idx="5">
                  <c:v>4.3879999999999999</c:v>
                </c:pt>
                <c:pt idx="6">
                  <c:v>4.4850000000000003</c:v>
                </c:pt>
                <c:pt idx="7">
                  <c:v>4.4859999999999998</c:v>
                </c:pt>
                <c:pt idx="8">
                  <c:v>4.4580000000000002</c:v>
                </c:pt>
                <c:pt idx="9">
                  <c:v>4.4130000000000003</c:v>
                </c:pt>
                <c:pt idx="10">
                  <c:v>4.4390000000000001</c:v>
                </c:pt>
                <c:pt idx="11">
                  <c:v>4.4710000000000001</c:v>
                </c:pt>
              </c:numCache>
            </c:numRef>
          </c:val>
        </c:ser>
        <c:marker val="1"/>
        <c:axId val="224847744"/>
        <c:axId val="224919552"/>
      </c:lineChart>
      <c:dateAx>
        <c:axId val="22484774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91955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49195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2.136400307045298E-2"/>
              <c:y val="0.44840529436744847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8477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680361930732146"/>
          <c:y val="0.92495300660517876"/>
          <c:w val="0.75431392119895457"/>
          <c:h val="6.1913605828512179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Cost &amp; Revenue</a:t>
            </a:r>
          </a:p>
        </c:rich>
      </c:tx>
      <c:layout>
        <c:manualLayout>
          <c:xMode val="edge"/>
          <c:yMode val="edge"/>
          <c:x val="0.35094964211004431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725846407927333"/>
          <c:y val="0.20262664165103189"/>
          <c:w val="0.856317093311313"/>
          <c:h val="0.53095684803001852"/>
        </c:manualLayout>
      </c:layout>
      <c:lineChart>
        <c:grouping val="standard"/>
        <c:ser>
          <c:idx val="0"/>
          <c:order val="0"/>
          <c:tx>
            <c:strRef>
              <c:f>'PGC GRAPHS'!$X$60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GRAPHS'!$Y$59:$AJ$59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GRAPHS'!$Y$60:$AJ$60</c:f>
              <c:numCache>
                <c:formatCode>"$"#,##0.0</c:formatCode>
                <c:ptCount val="12"/>
                <c:pt idx="0">
                  <c:v>2.7274653281246208</c:v>
                </c:pt>
                <c:pt idx="1">
                  <c:v>2.7330458823941584</c:v>
                </c:pt>
                <c:pt idx="2">
                  <c:v>2.8654225690652195</c:v>
                </c:pt>
                <c:pt idx="3">
                  <c:v>4.9409585329387431</c:v>
                </c:pt>
                <c:pt idx="4">
                  <c:v>7.411959490390295</c:v>
                </c:pt>
                <c:pt idx="5">
                  <c:v>10.557623949116619</c:v>
                </c:pt>
                <c:pt idx="6">
                  <c:v>11.975274458409974</c:v>
                </c:pt>
                <c:pt idx="7">
                  <c:v>10.09582028876016</c:v>
                </c:pt>
                <c:pt idx="8">
                  <c:v>8.4046615236559603</c:v>
                </c:pt>
                <c:pt idx="9">
                  <c:v>5.335043186052669</c:v>
                </c:pt>
                <c:pt idx="10">
                  <c:v>3.5660676414640688</c:v>
                </c:pt>
                <c:pt idx="11">
                  <c:v>2.7070847173674499</c:v>
                </c:pt>
              </c:numCache>
            </c:numRef>
          </c:val>
        </c:ser>
        <c:ser>
          <c:idx val="1"/>
          <c:order val="1"/>
          <c:tx>
            <c:strRef>
              <c:f>'PGC GRAPHS'!$X$62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GRAPHS'!$Y$59:$AJ$59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GRAPHS'!$Y$62:$AJ$62</c:f>
              <c:numCache>
                <c:formatCode>"$"#,##0.0</c:formatCode>
                <c:ptCount val="12"/>
                <c:pt idx="0">
                  <c:v>1.6577642604196299</c:v>
                </c:pt>
                <c:pt idx="1">
                  <c:v>1.6577642604196299</c:v>
                </c:pt>
                <c:pt idx="2">
                  <c:v>1.9570699025060776</c:v>
                </c:pt>
                <c:pt idx="3">
                  <c:v>4.5976134983496033</c:v>
                </c:pt>
                <c:pt idx="4">
                  <c:v>7.7453064020748679</c:v>
                </c:pt>
                <c:pt idx="5">
                  <c:v>11.431129726960162</c:v>
                </c:pt>
                <c:pt idx="6">
                  <c:v>13.064379303587923</c:v>
                </c:pt>
                <c:pt idx="7">
                  <c:v>10.708863073204764</c:v>
                </c:pt>
                <c:pt idx="8">
                  <c:v>8.5566104720952989</c:v>
                </c:pt>
                <c:pt idx="9">
                  <c:v>4.923051133662093</c:v>
                </c:pt>
                <c:pt idx="10">
                  <c:v>2.7030439894613982</c:v>
                </c:pt>
                <c:pt idx="11">
                  <c:v>1.6042879939544812</c:v>
                </c:pt>
              </c:numCache>
            </c:numRef>
          </c:val>
        </c:ser>
        <c:marker val="1"/>
        <c:axId val="225182080"/>
        <c:axId val="225184000"/>
      </c:lineChart>
      <c:dateAx>
        <c:axId val="22518208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18400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1840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3212187910787421E-2"/>
              <c:y val="0.39212004932132088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1820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3848057262393414"/>
          <c:y val="0.92495300660517876"/>
          <c:w val="0.21304710871207924"/>
          <c:h val="6.1913605828512179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YTD Cost &amp; Revenue</a:t>
            </a:r>
          </a:p>
        </c:rich>
      </c:tx>
      <c:layout>
        <c:manualLayout>
          <c:xMode val="edge"/>
          <c:yMode val="edge"/>
          <c:x val="0.38678486211951479"/>
          <c:y val="3.174605527250270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4826752618855762"/>
          <c:y val="0.26303913123390377"/>
          <c:w val="0.79129734085414949"/>
          <c:h val="0.35600985865278367"/>
        </c:manualLayout>
      </c:layout>
      <c:lineChart>
        <c:grouping val="standard"/>
        <c:ser>
          <c:idx val="0"/>
          <c:order val="0"/>
          <c:tx>
            <c:strRef>
              <c:f>'PGC GRAPHS'!$X$91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GRAPHS'!$Y$90:$AJ$90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GRAPHS'!$Y$91:$AJ$91</c:f>
              <c:numCache>
                <c:formatCode>"$"#,##0.0</c:formatCode>
                <c:ptCount val="12"/>
                <c:pt idx="0">
                  <c:v>2.7274653281246208</c:v>
                </c:pt>
                <c:pt idx="1">
                  <c:v>5.4605112105187796</c:v>
                </c:pt>
                <c:pt idx="2">
                  <c:v>8.3259337795839983</c:v>
                </c:pt>
                <c:pt idx="3">
                  <c:v>13.266892312522742</c:v>
                </c:pt>
                <c:pt idx="4">
                  <c:v>20.678851802913041</c:v>
                </c:pt>
                <c:pt idx="5">
                  <c:v>31.236475752029659</c:v>
                </c:pt>
                <c:pt idx="6">
                  <c:v>43.211750210439632</c:v>
                </c:pt>
                <c:pt idx="7">
                  <c:v>53.307570499199791</c:v>
                </c:pt>
                <c:pt idx="8">
                  <c:v>61.712232022855751</c:v>
                </c:pt>
                <c:pt idx="9">
                  <c:v>67.047275208908417</c:v>
                </c:pt>
                <c:pt idx="10">
                  <c:v>70.61334285037249</c:v>
                </c:pt>
                <c:pt idx="11">
                  <c:v>73.320427567739955</c:v>
                </c:pt>
              </c:numCache>
            </c:numRef>
          </c:val>
        </c:ser>
        <c:ser>
          <c:idx val="1"/>
          <c:order val="1"/>
          <c:tx>
            <c:strRef>
              <c:f>'PGC GRAPHS'!$X$92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GRAPHS'!$Y$90:$AJ$90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GRAPHS'!$Y$92:$AJ$92</c:f>
              <c:numCache>
                <c:formatCode>"$"#,##0.0</c:formatCode>
                <c:ptCount val="12"/>
                <c:pt idx="0">
                  <c:v>1.6577642604196299</c:v>
                </c:pt>
                <c:pt idx="1">
                  <c:v>3.3155285208392598</c:v>
                </c:pt>
                <c:pt idx="2">
                  <c:v>5.2725984233453378</c:v>
                </c:pt>
                <c:pt idx="3">
                  <c:v>9.870211921694942</c:v>
                </c:pt>
                <c:pt idx="4">
                  <c:v>17.615518323769809</c:v>
                </c:pt>
                <c:pt idx="5">
                  <c:v>29.046648050729967</c:v>
                </c:pt>
                <c:pt idx="6">
                  <c:v>42.111027354317891</c:v>
                </c:pt>
                <c:pt idx="7">
                  <c:v>52.819890427522651</c:v>
                </c:pt>
                <c:pt idx="8">
                  <c:v>61.376500899617952</c:v>
                </c:pt>
                <c:pt idx="9">
                  <c:v>66.299552033280051</c:v>
                </c:pt>
                <c:pt idx="10">
                  <c:v>69.002596022741443</c:v>
                </c:pt>
                <c:pt idx="11">
                  <c:v>70.606884016695915</c:v>
                </c:pt>
              </c:numCache>
            </c:numRef>
          </c:val>
        </c:ser>
        <c:marker val="1"/>
        <c:axId val="225200768"/>
        <c:axId val="225243904"/>
      </c:lineChart>
      <c:dateAx>
        <c:axId val="22520076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3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243904"/>
        <c:crosses val="autoZero"/>
        <c:auto val="1"/>
        <c:lblOffset val="100"/>
        <c:baseTimeUnit val="months"/>
        <c:majorUnit val="2"/>
        <c:majorTimeUnit val="months"/>
        <c:minorUnit val="1"/>
        <c:minorTimeUnit val="months"/>
      </c:dateAx>
      <c:valAx>
        <c:axId val="2252439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289284862119508E-2"/>
              <c:y val="0.35147481858885843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20076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319093636022772"/>
          <c:y val="0.91383418249189463"/>
          <c:w val="0.20064466373521489"/>
          <c:h val="7.029501312335961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43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and Cumulative Cost Recovery</a:t>
            </a:r>
          </a:p>
        </c:rich>
      </c:tx>
      <c:layout>
        <c:manualLayout>
          <c:xMode val="edge"/>
          <c:yMode val="edge"/>
          <c:x val="0.28163701013883324"/>
          <c:y val="2.85204627199377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729936760261331E-2"/>
          <c:y val="0.15686301815783008"/>
          <c:w val="0.89058205463185058"/>
          <c:h val="0.73975173335793665"/>
        </c:manualLayout>
      </c:layout>
      <c:lineChart>
        <c:grouping val="standard"/>
        <c:ser>
          <c:idx val="0"/>
          <c:order val="0"/>
          <c:tx>
            <c:strRef>
              <c:f>'PGC GRAPHS'!$X$113</c:f>
              <c:strCache>
                <c:ptCount val="1"/>
                <c:pt idx="0">
                  <c:v>MONTH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GRAPHS'!$Y$112:$AJ$112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GRAPHS'!$Y$113:$AJ$113</c:f>
              <c:numCache>
                <c:formatCode>"$"#,##0.0</c:formatCode>
                <c:ptCount val="12"/>
                <c:pt idx="0">
                  <c:v>-1.2697010677049909</c:v>
                </c:pt>
                <c:pt idx="1">
                  <c:v>-1.2952816219745282</c:v>
                </c:pt>
                <c:pt idx="2">
                  <c:v>-1.008352666559142</c:v>
                </c:pt>
                <c:pt idx="3">
                  <c:v>-0.40334503458913973</c:v>
                </c:pt>
                <c:pt idx="4">
                  <c:v>0.30334691168457267</c:v>
                </c:pt>
                <c:pt idx="5">
                  <c:v>0.87350577784354244</c:v>
                </c:pt>
                <c:pt idx="6">
                  <c:v>1.0891048451779484</c:v>
                </c:pt>
                <c:pt idx="7">
                  <c:v>0.61304278444460225</c:v>
                </c:pt>
                <c:pt idx="8">
                  <c:v>0.11194894843933918</c:v>
                </c:pt>
                <c:pt idx="9">
                  <c:v>-0.56699205239057537</c:v>
                </c:pt>
                <c:pt idx="10">
                  <c:v>-1.0480236520026709</c:v>
                </c:pt>
                <c:pt idx="11">
                  <c:v>-1.2927967234129687</c:v>
                </c:pt>
              </c:numCache>
            </c:numRef>
          </c:val>
        </c:ser>
        <c:ser>
          <c:idx val="1"/>
          <c:order val="1"/>
          <c:tx>
            <c:strRef>
              <c:f>'PGC GRAPHS'!$X$114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GRAPHS'!$Y$112:$AJ$112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GRAPHS'!$Y$114:$AJ$114</c:f>
              <c:numCache>
                <c:formatCode>"$"#,##0.0</c:formatCode>
                <c:ptCount val="12"/>
                <c:pt idx="0">
                  <c:v>7.0885278804256844</c:v>
                </c:pt>
                <c:pt idx="1">
                  <c:v>5.7932462584511564</c:v>
                </c:pt>
                <c:pt idx="2">
                  <c:v>4.7848935918920139</c:v>
                </c:pt>
                <c:pt idx="3">
                  <c:v>4.3815485573028745</c:v>
                </c:pt>
                <c:pt idx="4">
                  <c:v>4.6848954689874471</c:v>
                </c:pt>
                <c:pt idx="5">
                  <c:v>5.5584012468309894</c:v>
                </c:pt>
                <c:pt idx="6">
                  <c:v>6.6475060920089382</c:v>
                </c:pt>
                <c:pt idx="7">
                  <c:v>7.26054887645354</c:v>
                </c:pt>
                <c:pt idx="8">
                  <c:v>7.3724978248928794</c:v>
                </c:pt>
                <c:pt idx="9">
                  <c:v>6.805505772502304</c:v>
                </c:pt>
                <c:pt idx="10">
                  <c:v>5.7574821204996329</c:v>
                </c:pt>
                <c:pt idx="11">
                  <c:v>4.4646853970866651</c:v>
                </c:pt>
              </c:numCache>
            </c:numRef>
          </c:val>
        </c:ser>
        <c:marker val="1"/>
        <c:axId val="225281152"/>
        <c:axId val="225283072"/>
      </c:lineChart>
      <c:dateAx>
        <c:axId val="22528115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28307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2830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5223600405653993E-2"/>
              <c:y val="0.46880645474871196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281152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89229030935454"/>
          <c:y val="0.9393955477787499"/>
          <c:w val="0.23025735876975106"/>
          <c:h val="4.812851171381360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47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Monthly Gas Costs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stacked"/>
        <c:ser>
          <c:idx val="1"/>
          <c:order val="0"/>
          <c:tx>
            <c:v>Pipeline Demand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0"/>
          <c:order val="1"/>
          <c:tx>
            <c:v>Gas</c:v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overlap val="100"/>
        <c:axId val="225402880"/>
        <c:axId val="225404416"/>
      </c:barChart>
      <c:catAx>
        <c:axId val="225402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404416"/>
        <c:crosses val="autoZero"/>
        <c:auto val="1"/>
        <c:lblAlgn val="ctr"/>
        <c:lblOffset val="100"/>
        <c:tickLblSkip val="1"/>
        <c:tickMarkSkip val="1"/>
      </c:catAx>
      <c:valAx>
        <c:axId val="2254044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402880"/>
        <c:crosses val="autoZero"/>
        <c:crossBetween val="between"/>
        <c:majorUnit val="10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 vs Rate</a:t>
            </a:r>
          </a:p>
        </c:rich>
      </c:tx>
      <c:layout>
        <c:manualLayout>
          <c:xMode val="edge"/>
          <c:yMode val="edge"/>
          <c:x val="0.38793832775833181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491451688770001"/>
          <c:y val="0.20262664165103189"/>
          <c:w val="0.86063638179723145"/>
          <c:h val="0.54596622889305757"/>
        </c:manualLayout>
      </c:layout>
      <c:lineChart>
        <c:grouping val="standard"/>
        <c:ser>
          <c:idx val="0"/>
          <c:order val="0"/>
          <c:tx>
            <c:strRef>
              <c:f>'PGC GRAPHS'!$AN$6</c:f>
              <c:strCache>
                <c:ptCount val="1"/>
                <c:pt idx="0">
                  <c:v>RS UNIT COST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GRAPHS'!$AO$3:$AZ$3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GRAPHS'!$AO$6:$AZ$6</c:f>
              <c:numCache>
                <c:formatCode>"$"#,##0.00</c:formatCode>
                <c:ptCount val="12"/>
                <c:pt idx="0">
                  <c:v>12.505497333499976</c:v>
                </c:pt>
                <c:pt idx="1">
                  <c:v>12.534286307081457</c:v>
                </c:pt>
                <c:pt idx="2">
                  <c:v>11.205580674088294</c:v>
                </c:pt>
                <c:pt idx="3">
                  <c:v>7.8180437962099827</c:v>
                </c:pt>
                <c:pt idx="4">
                  <c:v>6.9700529775926272</c:v>
                </c:pt>
                <c:pt idx="5">
                  <c:v>6.4970139239579918</c:v>
                </c:pt>
                <c:pt idx="6">
                  <c:v>6.4505252323832147</c:v>
                </c:pt>
                <c:pt idx="7">
                  <c:v>6.6319950215722692</c:v>
                </c:pt>
                <c:pt idx="8">
                  <c:v>6.9896222452026349</c:v>
                </c:pt>
                <c:pt idx="9">
                  <c:v>7.7256950715852355</c:v>
                </c:pt>
                <c:pt idx="10">
                  <c:v>9.7327618107308957</c:v>
                </c:pt>
                <c:pt idx="11">
                  <c:v>13.170168094604094</c:v>
                </c:pt>
              </c:numCache>
            </c:numRef>
          </c:val>
        </c:ser>
        <c:ser>
          <c:idx val="1"/>
          <c:order val="1"/>
          <c:tx>
            <c:strRef>
              <c:f>'PGC GRAPHS'!$AN$8</c:f>
              <c:strCache>
                <c:ptCount val="1"/>
                <c:pt idx="0">
                  <c:v>RS RATE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GRAPHS'!$AO$3:$AZ$3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GRAPHS'!$AO$8:$AZ$8</c:f>
              <c:numCache>
                <c:formatCode>"$"#,##0.00</c:formatCode>
                <c:ptCount val="12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</c:numCache>
            </c:numRef>
          </c:val>
        </c:ser>
        <c:ser>
          <c:idx val="2"/>
          <c:order val="2"/>
          <c:tx>
            <c:strRef>
              <c:f>'PGC GRAPHS'!$AN$9</c:f>
              <c:strCache>
                <c:ptCount val="1"/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GRAPHS'!$AO$3:$AZ$3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GRAPHS'!$AO$9:$AZ$9</c:f>
              <c:numCache>
                <c:formatCode>"$"#,##0.00</c:formatCode>
                <c:ptCount val="12"/>
              </c:numCache>
            </c:numRef>
          </c:val>
        </c:ser>
        <c:ser>
          <c:idx val="3"/>
          <c:order val="3"/>
          <c:tx>
            <c:strRef>
              <c:f>'PGC GRAPHS'!$AN$10</c:f>
              <c:strCache>
                <c:ptCount val="1"/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GRAPHS'!$AO$3:$AZ$3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GRAPHS'!$AO$10:$AZ$10</c:f>
              <c:numCache>
                <c:formatCode>"$"#,##0.00</c:formatCode>
                <c:ptCount val="12"/>
              </c:numCache>
            </c:numRef>
          </c:val>
        </c:ser>
        <c:marker val="1"/>
        <c:axId val="225439104"/>
        <c:axId val="225613312"/>
      </c:lineChart>
      <c:dateAx>
        <c:axId val="22543910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61331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6133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1.303993944060197E-2"/>
              <c:y val="0.42026267184438754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4391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8386342216672381"/>
          <c:y val="0.9287055199971348"/>
          <c:w val="0.32273863055532176"/>
          <c:h val="5.81612970893259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Cost &amp; Revenue</a:t>
            </a:r>
          </a:p>
        </c:rich>
      </c:tx>
      <c:layout>
        <c:manualLayout>
          <c:xMode val="edge"/>
          <c:yMode val="edge"/>
          <c:x val="0.3521705950122635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547920784001962"/>
          <c:y val="0.20262664165103189"/>
          <c:w val="0.85995154774482663"/>
          <c:h val="0.54596622889305757"/>
        </c:manualLayout>
      </c:layout>
      <c:lineChart>
        <c:grouping val="standard"/>
        <c:ser>
          <c:idx val="0"/>
          <c:order val="0"/>
          <c:tx>
            <c:strRef>
              <c:f>'PGC GRAPHS'!$AN$60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GRAPHS'!$AO$59:$AZ$59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GRAPHS'!$AO$60:$AZ$60</c:f>
              <c:numCache>
                <c:formatCode>"$"#,##0.0</c:formatCode>
                <c:ptCount val="12"/>
                <c:pt idx="0">
                  <c:v>2.8340710462393282</c:v>
                </c:pt>
                <c:pt idx="1">
                  <c:v>2.8418041926003639</c:v>
                </c:pt>
                <c:pt idx="2">
                  <c:v>3.0888382008801312</c:v>
                </c:pt>
                <c:pt idx="3">
                  <c:v>5.4250585030190628</c:v>
                </c:pt>
                <c:pt idx="4">
                  <c:v>8.3092444968377333</c:v>
                </c:pt>
                <c:pt idx="5">
                  <c:v>11.525418034878193</c:v>
                </c:pt>
                <c:pt idx="6">
                  <c:v>13.107485506102874</c:v>
                </c:pt>
                <c:pt idx="7">
                  <c:v>11.012087485911893</c:v>
                </c:pt>
                <c:pt idx="8">
                  <c:v>9.2332023781978627</c:v>
                </c:pt>
                <c:pt idx="9">
                  <c:v>5.7892583033263554</c:v>
                </c:pt>
                <c:pt idx="10">
                  <c:v>3.8533795176244654</c:v>
                </c:pt>
                <c:pt idx="11">
                  <c:v>2.8984920447246454</c:v>
                </c:pt>
              </c:numCache>
            </c:numRef>
          </c:val>
        </c:ser>
        <c:ser>
          <c:idx val="1"/>
          <c:order val="1"/>
          <c:tx>
            <c:strRef>
              <c:f>'PGC GRAPHS'!$AN$62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GRAPHS'!$AO$59:$AZ$59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GRAPHS'!$AO$62:$AZ$62</c:f>
              <c:numCache>
                <c:formatCode>"$"#,##0.0</c:formatCode>
                <c:ptCount val="12"/>
                <c:pt idx="0">
                  <c:v>1.6686411071006273</c:v>
                </c:pt>
                <c:pt idx="1">
                  <c:v>1.6686411071006273</c:v>
                </c:pt>
                <c:pt idx="2">
                  <c:v>1.9703569138815769</c:v>
                </c:pt>
                <c:pt idx="3">
                  <c:v>4.6314989343345143</c:v>
                </c:pt>
                <c:pt idx="4">
                  <c:v>7.803894769279851</c:v>
                </c:pt>
                <c:pt idx="5">
                  <c:v>11.518497350527062</c:v>
                </c:pt>
                <c:pt idx="6">
                  <c:v>13.164529476768108</c:v>
                </c:pt>
                <c:pt idx="7">
                  <c:v>10.790780901638788</c:v>
                </c:pt>
                <c:pt idx="8">
                  <c:v>8.6214808083428167</c:v>
                </c:pt>
                <c:pt idx="9">
                  <c:v>4.9595512551353202</c:v>
                </c:pt>
                <c:pt idx="10">
                  <c:v>2.7221016678948984</c:v>
                </c:pt>
                <c:pt idx="11">
                  <c:v>1.6148139746135106</c:v>
                </c:pt>
              </c:numCache>
            </c:numRef>
          </c:val>
        </c:ser>
        <c:marker val="1"/>
        <c:axId val="225978240"/>
        <c:axId val="225988608"/>
      </c:lineChart>
      <c:dateAx>
        <c:axId val="22597824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98860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9886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3104042687733341E-2"/>
              <c:y val="0.40150092349567768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9782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307978829379002"/>
          <c:y val="0.9287055199971348"/>
          <c:w val="0.20393137738970746"/>
          <c:h val="5.81612970893259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YTD Cost &amp; Revenue</a:t>
            </a:r>
          </a:p>
        </c:rich>
      </c:tx>
      <c:layout>
        <c:manualLayout>
          <c:xMode val="edge"/>
          <c:yMode val="edge"/>
          <c:x val="0.41087163621455924"/>
          <c:y val="3.174605527250270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310161488123327"/>
          <c:y val="0.2267578717533654"/>
          <c:w val="0.84172727577881812"/>
          <c:h val="0.33786922891251903"/>
        </c:manualLayout>
      </c:layout>
      <c:lineChart>
        <c:grouping val="standard"/>
        <c:ser>
          <c:idx val="0"/>
          <c:order val="0"/>
          <c:tx>
            <c:strRef>
              <c:f>'PGC GRAPHS'!$AN$91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GRAPHS'!$AO$90:$AZ$90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GRAPHS'!$AO$91:$AZ$91</c:f>
              <c:numCache>
                <c:formatCode>"$"#,##0.0</c:formatCode>
                <c:ptCount val="12"/>
                <c:pt idx="0">
                  <c:v>2.8340710462393282</c:v>
                </c:pt>
                <c:pt idx="1">
                  <c:v>5.6758752388396916</c:v>
                </c:pt>
                <c:pt idx="2">
                  <c:v>8.7647134397198219</c:v>
                </c:pt>
                <c:pt idx="3">
                  <c:v>14.189771942738885</c:v>
                </c:pt>
                <c:pt idx="4">
                  <c:v>22.499016439576618</c:v>
                </c:pt>
                <c:pt idx="5">
                  <c:v>34.024434474454814</c:v>
                </c:pt>
                <c:pt idx="6">
                  <c:v>47.13191998055769</c:v>
                </c:pt>
                <c:pt idx="7">
                  <c:v>58.144007466469581</c:v>
                </c:pt>
                <c:pt idx="8">
                  <c:v>67.377209844667433</c:v>
                </c:pt>
                <c:pt idx="9">
                  <c:v>73.166468147993783</c:v>
                </c:pt>
                <c:pt idx="10">
                  <c:v>77.019847665618258</c:v>
                </c:pt>
                <c:pt idx="11">
                  <c:v>79.918339710342906</c:v>
                </c:pt>
              </c:numCache>
            </c:numRef>
          </c:val>
        </c:ser>
        <c:ser>
          <c:idx val="1"/>
          <c:order val="1"/>
          <c:tx>
            <c:strRef>
              <c:f>'PGC GRAPHS'!$AN$92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GRAPHS'!$AO$90:$AZ$90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GRAPHS'!$AO$92:$AZ$92</c:f>
              <c:numCache>
                <c:formatCode>"$"#,##0.0</c:formatCode>
                <c:ptCount val="12"/>
                <c:pt idx="0">
                  <c:v>1.6686411071006273</c:v>
                </c:pt>
                <c:pt idx="1">
                  <c:v>3.3372822142012546</c:v>
                </c:pt>
                <c:pt idx="2">
                  <c:v>5.3076391280828314</c:v>
                </c:pt>
                <c:pt idx="3">
                  <c:v>9.9391380624173475</c:v>
                </c:pt>
                <c:pt idx="4">
                  <c:v>17.743032831697196</c:v>
                </c:pt>
                <c:pt idx="5">
                  <c:v>29.261530182224259</c:v>
                </c:pt>
                <c:pt idx="6">
                  <c:v>42.426059658992365</c:v>
                </c:pt>
                <c:pt idx="7">
                  <c:v>53.216840560631155</c:v>
                </c:pt>
                <c:pt idx="8">
                  <c:v>61.838321368973972</c:v>
                </c:pt>
                <c:pt idx="9">
                  <c:v>66.797872624109289</c:v>
                </c:pt>
                <c:pt idx="10">
                  <c:v>69.519974292004179</c:v>
                </c:pt>
                <c:pt idx="11">
                  <c:v>71.134788266617704</c:v>
                </c:pt>
              </c:numCache>
            </c:numRef>
          </c:val>
        </c:ser>
        <c:marker val="1"/>
        <c:axId val="226034048"/>
        <c:axId val="226035968"/>
      </c:lineChart>
      <c:dateAx>
        <c:axId val="22603404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2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03596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60359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2789802240903501E-2"/>
              <c:y val="0.3219962328238383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03404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5723458480733375"/>
          <c:y val="0.92063683804230345"/>
          <c:w val="0.17346139703551591"/>
          <c:h val="6.34921105450054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6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and Cumulative Cost Recovery</a:t>
            </a:r>
          </a:p>
        </c:rich>
      </c:tx>
      <c:layout>
        <c:manualLayout>
          <c:xMode val="edge"/>
          <c:yMode val="edge"/>
          <c:x val="0.31385482797556979"/>
          <c:y val="2.85204627199377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1630537229029234E-2"/>
          <c:y val="0.14082020948259524"/>
          <c:w val="0.9048067860508956"/>
          <c:h val="0.7647072135194245"/>
        </c:manualLayout>
      </c:layout>
      <c:lineChart>
        <c:grouping val="standard"/>
        <c:ser>
          <c:idx val="0"/>
          <c:order val="0"/>
          <c:tx>
            <c:strRef>
              <c:f>'PGC GRAPHS'!$AN$113</c:f>
              <c:strCache>
                <c:ptCount val="1"/>
                <c:pt idx="0">
                  <c:v>MONTH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GRAPHS'!$AO$112:$AZ$112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GRAPHS'!$AO$113:$AZ$113</c:f>
              <c:numCache>
                <c:formatCode>"$"#,##0.0</c:formatCode>
                <c:ptCount val="12"/>
                <c:pt idx="0">
                  <c:v>-1.3654299391387008</c:v>
                </c:pt>
                <c:pt idx="1">
                  <c:v>-1.3931630854997366</c:v>
                </c:pt>
                <c:pt idx="2">
                  <c:v>-1.2184812869985544</c:v>
                </c:pt>
                <c:pt idx="3">
                  <c:v>-0.85355956868454819</c:v>
                </c:pt>
                <c:pt idx="4">
                  <c:v>-0.53534972755788268</c:v>
                </c:pt>
                <c:pt idx="5">
                  <c:v>-6.9206843511313201E-3</c:v>
                </c:pt>
                <c:pt idx="6">
                  <c:v>5.7043970665235075E-2</c:v>
                </c:pt>
                <c:pt idx="7">
                  <c:v>-0.22130658427310362</c:v>
                </c:pt>
                <c:pt idx="8">
                  <c:v>-0.65172156985504548</c:v>
                </c:pt>
                <c:pt idx="9">
                  <c:v>-0.98470704819103516</c:v>
                </c:pt>
                <c:pt idx="10">
                  <c:v>-1.3162778497295669</c:v>
                </c:pt>
                <c:pt idx="11">
                  <c:v>-1.4736780701111349</c:v>
                </c:pt>
              </c:numCache>
            </c:numRef>
          </c:val>
        </c:ser>
        <c:ser>
          <c:idx val="1"/>
          <c:order val="1"/>
          <c:tx>
            <c:strRef>
              <c:f>'PGC GRAPHS'!$AN$114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GRAPHS'!$AO$112:$AZ$112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GRAPHS'!$AO$114:$AZ$114</c:f>
              <c:numCache>
                <c:formatCode>"$"#,##0.0</c:formatCode>
                <c:ptCount val="12"/>
                <c:pt idx="0">
                  <c:v>3.0992554579479643</c:v>
                </c:pt>
                <c:pt idx="1">
                  <c:v>1.7060923724482278</c:v>
                </c:pt>
                <c:pt idx="2">
                  <c:v>0.48761108544967346</c:v>
                </c:pt>
                <c:pt idx="3">
                  <c:v>-0.36594848323487467</c:v>
                </c:pt>
                <c:pt idx="4">
                  <c:v>-0.90129821079275729</c:v>
                </c:pt>
                <c:pt idx="5">
                  <c:v>-0.90821889514388865</c:v>
                </c:pt>
                <c:pt idx="6">
                  <c:v>-0.85117492447865362</c:v>
                </c:pt>
                <c:pt idx="7">
                  <c:v>-1.0724815087517572</c:v>
                </c:pt>
                <c:pt idx="8">
                  <c:v>-1.7242030786068028</c:v>
                </c:pt>
                <c:pt idx="9">
                  <c:v>-2.7089101267978379</c:v>
                </c:pt>
                <c:pt idx="10">
                  <c:v>-4.0251879765274046</c:v>
                </c:pt>
                <c:pt idx="11">
                  <c:v>-5.4988660466385397</c:v>
                </c:pt>
              </c:numCache>
            </c:numRef>
          </c:val>
        </c:ser>
        <c:marker val="1"/>
        <c:axId val="226065024"/>
        <c:axId val="226083584"/>
      </c:lineChart>
      <c:dateAx>
        <c:axId val="22606502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08358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60835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5080123531567343E-2"/>
              <c:y val="0.47593661903373191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065024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69557046109978"/>
          <c:y val="0.9447432682025938"/>
          <c:w val="0.19321393942566487"/>
          <c:h val="4.278079128997789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Commodity &amp; Demand Costs</a:t>
            </a:r>
          </a:p>
        </c:rich>
      </c:tx>
      <c:layout>
        <c:manualLayout>
          <c:xMode val="edge"/>
          <c:yMode val="edge"/>
          <c:x val="0.35732932773647591"/>
          <c:y val="2.90136925655377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2445899362226526E-2"/>
          <c:y val="0.14506824629868192"/>
          <c:w val="0.90546554075227537"/>
          <c:h val="0.71373577178951564"/>
        </c:manualLayout>
      </c:layout>
      <c:barChart>
        <c:barDir val="col"/>
        <c:grouping val="stacked"/>
        <c:ser>
          <c:idx val="0"/>
          <c:order val="0"/>
          <c:tx>
            <c:strRef>
              <c:f>'PGC GRAPHS'!$A$35</c:f>
              <c:strCache>
                <c:ptCount val="1"/>
                <c:pt idx="0">
                  <c:v>DEMAND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GRAPHS'!$B$34:$M$34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GRAPHS'!$B$35:$M$35</c:f>
              <c:numCache>
                <c:formatCode>"$"#,##0.0</c:formatCode>
                <c:ptCount val="12"/>
                <c:pt idx="0">
                  <c:v>1.3007834745289999</c:v>
                </c:pt>
                <c:pt idx="1">
                  <c:v>1.2953200755400001</c:v>
                </c:pt>
                <c:pt idx="2">
                  <c:v>1.311370883283</c:v>
                </c:pt>
                <c:pt idx="3">
                  <c:v>1.4813081206359999</c:v>
                </c:pt>
                <c:pt idx="4">
                  <c:v>1.464543789847</c:v>
                </c:pt>
                <c:pt idx="5">
                  <c:v>1.4770290450380001</c:v>
                </c:pt>
                <c:pt idx="6">
                  <c:v>1.4755950515220002</c:v>
                </c:pt>
                <c:pt idx="7">
                  <c:v>1.4546270474349996</c:v>
                </c:pt>
                <c:pt idx="8">
                  <c:v>1.4846070390200001</c:v>
                </c:pt>
                <c:pt idx="9">
                  <c:v>1.3141767506699999</c:v>
                </c:pt>
                <c:pt idx="10">
                  <c:v>1.4103320133120001</c:v>
                </c:pt>
                <c:pt idx="11">
                  <c:v>1.4057787422279999</c:v>
                </c:pt>
              </c:numCache>
            </c:numRef>
          </c:val>
        </c:ser>
        <c:ser>
          <c:idx val="1"/>
          <c:order val="1"/>
          <c:tx>
            <c:strRef>
              <c:f>'PGC GRAPHS'!$A$36</c:f>
              <c:strCache>
                <c:ptCount val="1"/>
                <c:pt idx="0">
                  <c:v>COMMODITY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GRAPHS'!$B$34:$M$34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GRAPHS'!$B$36:$M$36</c:f>
              <c:numCache>
                <c:formatCode>"$"#,##0.0</c:formatCode>
                <c:ptCount val="12"/>
                <c:pt idx="0">
                  <c:v>1.1993577591692144</c:v>
                </c:pt>
                <c:pt idx="1">
                  <c:v>1.2738409383058575</c:v>
                </c:pt>
                <c:pt idx="2">
                  <c:v>0.9108687093007044</c:v>
                </c:pt>
                <c:pt idx="3">
                  <c:v>1.9624828884300007</c:v>
                </c:pt>
                <c:pt idx="4">
                  <c:v>4.7131236157165466</c:v>
                </c:pt>
                <c:pt idx="5">
                  <c:v>13.208730497028951</c:v>
                </c:pt>
                <c:pt idx="6">
                  <c:v>12.704318107405065</c:v>
                </c:pt>
                <c:pt idx="7">
                  <c:v>7.4731871880369329</c:v>
                </c:pt>
                <c:pt idx="8">
                  <c:v>6.555262519003386</c:v>
                </c:pt>
                <c:pt idx="9">
                  <c:v>3.5278269913922773</c:v>
                </c:pt>
                <c:pt idx="10">
                  <c:v>2.0675899784591953</c:v>
                </c:pt>
                <c:pt idx="11">
                  <c:v>1.1642772782298971</c:v>
                </c:pt>
              </c:numCache>
            </c:numRef>
          </c:val>
        </c:ser>
        <c:overlap val="100"/>
        <c:axId val="245053312"/>
        <c:axId val="245054848"/>
      </c:barChart>
      <c:dateAx>
        <c:axId val="24505331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505484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50548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3876832469112274E-2"/>
              <c:y val="0.4506787254002888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50533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3972317484705176"/>
          <c:y val="0.9400421634042736"/>
          <c:w val="0.15091095320402204"/>
          <c:h val="4.642190810486034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Requirments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stacke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overlap val="100"/>
        <c:axId val="245440896"/>
        <c:axId val="245442432"/>
      </c:barChart>
      <c:catAx>
        <c:axId val="245440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5442432"/>
        <c:crosses val="autoZero"/>
        <c:auto val="1"/>
        <c:lblAlgn val="ctr"/>
        <c:lblOffset val="100"/>
        <c:tickLblSkip val="1"/>
        <c:tickMarkSkip val="1"/>
      </c:catAx>
      <c:valAx>
        <c:axId val="2454424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54408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Demand Cost &amp; Revenue</a:t>
            </a:r>
          </a:p>
        </c:rich>
      </c:tx>
      <c:layout>
        <c:manualLayout>
          <c:xMode val="edge"/>
          <c:yMode val="edge"/>
          <c:x val="0.34282807051583086"/>
          <c:y val="2.879087325239723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556459816888452E-2"/>
          <c:y val="0.16506717850287941"/>
          <c:w val="0.88199389623601265"/>
          <c:h val="0.63915547024953412"/>
        </c:manualLayout>
      </c:layout>
      <c:lineChart>
        <c:grouping val="standard"/>
        <c:ser>
          <c:idx val="0"/>
          <c:order val="0"/>
          <c:tx>
            <c:strRef>
              <c:f>'PGC GRAPHS'!$A$64</c:f>
              <c:strCache>
                <c:ptCount val="1"/>
                <c:pt idx="0">
                  <c:v>DEMAND 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GRAPHS'!$B$59:$M$59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GRAPHS'!$B$64:$M$64</c:f>
              <c:numCache>
                <c:formatCode>"$"#,##0.0</c:formatCode>
                <c:ptCount val="12"/>
                <c:pt idx="0">
                  <c:v>1.3007834745289999</c:v>
                </c:pt>
                <c:pt idx="1">
                  <c:v>1.2953200755400001</c:v>
                </c:pt>
                <c:pt idx="2">
                  <c:v>1.311370883283</c:v>
                </c:pt>
                <c:pt idx="3">
                  <c:v>1.4813081206359999</c:v>
                </c:pt>
                <c:pt idx="4">
                  <c:v>1.464543789847</c:v>
                </c:pt>
                <c:pt idx="5">
                  <c:v>1.4770290450380001</c:v>
                </c:pt>
                <c:pt idx="6">
                  <c:v>1.4755950515220002</c:v>
                </c:pt>
                <c:pt idx="7">
                  <c:v>1.4546270474349996</c:v>
                </c:pt>
                <c:pt idx="8">
                  <c:v>1.4846070390200001</c:v>
                </c:pt>
                <c:pt idx="9">
                  <c:v>1.3141767506699999</c:v>
                </c:pt>
                <c:pt idx="10">
                  <c:v>1.4103320133120001</c:v>
                </c:pt>
                <c:pt idx="11">
                  <c:v>1.4057787422279999</c:v>
                </c:pt>
              </c:numCache>
            </c:numRef>
          </c:val>
        </c:ser>
        <c:ser>
          <c:idx val="1"/>
          <c:order val="1"/>
          <c:tx>
            <c:strRef>
              <c:f>'PGC GRAPHS'!$A$65</c:f>
              <c:strCache>
                <c:ptCount val="1"/>
                <c:pt idx="0">
                  <c:v>DEMAND REVENUE ($1.50/MCF)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GRAPHS'!$B$59:$M$59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GRAPHS'!$B$65:$M$65</c:f>
              <c:numCache>
                <c:formatCode>"$"#,##0.0</c:formatCode>
                <c:ptCount val="12"/>
                <c:pt idx="0">
                  <c:v>0.3458817080826142</c:v>
                </c:pt>
                <c:pt idx="1">
                  <c:v>0.3458817080826142</c:v>
                </c:pt>
                <c:pt idx="2">
                  <c:v>0.42313365412596077</c:v>
                </c:pt>
                <c:pt idx="3">
                  <c:v>1.0826268788961515</c:v>
                </c:pt>
                <c:pt idx="4">
                  <c:v>1.8737030348832804</c:v>
                </c:pt>
                <c:pt idx="5">
                  <c:v>2.7951500981649504</c:v>
                </c:pt>
                <c:pt idx="6">
                  <c:v>3.2044529708391383</c:v>
                </c:pt>
                <c:pt idx="7">
                  <c:v>2.6208774866021969</c:v>
                </c:pt>
                <c:pt idx="8">
                  <c:v>2.0747770422583813</c:v>
                </c:pt>
                <c:pt idx="9">
                  <c:v>1.1664276709022847</c:v>
                </c:pt>
                <c:pt idx="10">
                  <c:v>0.60783554659409378</c:v>
                </c:pt>
                <c:pt idx="11">
                  <c:v>0.33472423362833637</c:v>
                </c:pt>
              </c:numCache>
            </c:numRef>
          </c:val>
        </c:ser>
        <c:marker val="1"/>
        <c:axId val="245459200"/>
        <c:axId val="246219136"/>
      </c:lineChart>
      <c:dateAx>
        <c:axId val="24545920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621913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621913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6276738508302482E-2"/>
              <c:y val="0.42802313057481689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5459200"/>
        <c:crosses val="autoZero"/>
        <c:crossBetween val="between"/>
        <c:majorUnit val="1"/>
        <c:minorUnit val="0.25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960328110937398"/>
          <c:y val="0.93857974924449183"/>
          <c:w val="0.40590028402507494"/>
          <c:h val="4.798464932919246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Cumulative Sales Variances - Actual &amp; Normalized</a:t>
            </a:r>
          </a:p>
        </c:rich>
      </c:tx>
      <c:layout>
        <c:manualLayout>
          <c:xMode val="edge"/>
          <c:yMode val="edge"/>
          <c:x val="0.35645067230165139"/>
          <c:y val="2.802118826055833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299833306995498E-2"/>
          <c:y val="0.13485159961826707"/>
          <c:w val="0.89410952509607244"/>
          <c:h val="0.77233188872280234"/>
        </c:manualLayout>
      </c:layout>
      <c:lineChart>
        <c:grouping val="standard"/>
        <c:ser>
          <c:idx val="0"/>
          <c:order val="0"/>
          <c:tx>
            <c:strRef>
              <c:f>'PGC GRAPHS'!$A$215</c:f>
              <c:strCache>
                <c:ptCount val="1"/>
                <c:pt idx="0">
                  <c:v>PGC MTH ACTUAL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GRAPHS'!$B$214:$M$214</c:f>
              <c:numCache>
                <c:formatCode>mmm\-yy</c:formatCode>
                <c:ptCount val="12"/>
                <c:pt idx="0">
                  <c:v>38899</c:v>
                </c:pt>
                <c:pt idx="1">
                  <c:v>38930</c:v>
                </c:pt>
                <c:pt idx="2">
                  <c:v>38961</c:v>
                </c:pt>
                <c:pt idx="3">
                  <c:v>38991</c:v>
                </c:pt>
                <c:pt idx="4">
                  <c:v>39022</c:v>
                </c:pt>
                <c:pt idx="5">
                  <c:v>39052</c:v>
                </c:pt>
                <c:pt idx="6">
                  <c:v>39083</c:v>
                </c:pt>
                <c:pt idx="7">
                  <c:v>39114</c:v>
                </c:pt>
                <c:pt idx="8">
                  <c:v>39142</c:v>
                </c:pt>
                <c:pt idx="9">
                  <c:v>39173</c:v>
                </c:pt>
                <c:pt idx="10">
                  <c:v>39203</c:v>
                </c:pt>
                <c:pt idx="11">
                  <c:v>39234</c:v>
                </c:pt>
              </c:numCache>
            </c:numRef>
          </c:cat>
          <c:val>
            <c:numRef>
              <c:f>'PGC GRAPHS'!$B$215:$M$215</c:f>
              <c:numCache>
                <c:formatCode>#,##0_);[Red]\(#,##0\)</c:formatCode>
                <c:ptCount val="12"/>
                <c:pt idx="0">
                  <c:v>-26874.561977522972</c:v>
                </c:pt>
                <c:pt idx="1">
                  <c:v>-37556.423955045932</c:v>
                </c:pt>
                <c:pt idx="2">
                  <c:v>-69338.489580764261</c:v>
                </c:pt>
                <c:pt idx="3">
                  <c:v>-286285.6835667764</c:v>
                </c:pt>
                <c:pt idx="4">
                  <c:v>-314048.54065809754</c:v>
                </c:pt>
              </c:numCache>
            </c:numRef>
          </c:val>
        </c:ser>
        <c:ser>
          <c:idx val="1"/>
          <c:order val="1"/>
          <c:tx>
            <c:strRef>
              <c:f>'PGC GRAPHS'!$A$216</c:f>
              <c:strCache>
                <c:ptCount val="1"/>
                <c:pt idx="0">
                  <c:v>PGC MTH NRMLZD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numRef>
              <c:f>'PGC GRAPHS'!$B$214:$M$214</c:f>
              <c:numCache>
                <c:formatCode>mmm\-yy</c:formatCode>
                <c:ptCount val="12"/>
                <c:pt idx="0">
                  <c:v>38899</c:v>
                </c:pt>
                <c:pt idx="1">
                  <c:v>38930</c:v>
                </c:pt>
                <c:pt idx="2">
                  <c:v>38961</c:v>
                </c:pt>
                <c:pt idx="3">
                  <c:v>38991</c:v>
                </c:pt>
                <c:pt idx="4">
                  <c:v>39022</c:v>
                </c:pt>
                <c:pt idx="5">
                  <c:v>39052</c:v>
                </c:pt>
                <c:pt idx="6">
                  <c:v>39083</c:v>
                </c:pt>
                <c:pt idx="7">
                  <c:v>39114</c:v>
                </c:pt>
                <c:pt idx="8">
                  <c:v>39142</c:v>
                </c:pt>
                <c:pt idx="9">
                  <c:v>39173</c:v>
                </c:pt>
                <c:pt idx="10">
                  <c:v>39203</c:v>
                </c:pt>
                <c:pt idx="11">
                  <c:v>39234</c:v>
                </c:pt>
              </c:numCache>
            </c:numRef>
          </c:cat>
          <c:val>
            <c:numRef>
              <c:f>'PGC GRAPHS'!$B$216:$M$216</c:f>
              <c:numCache>
                <c:formatCode>#,##0_);[Red]\(#,##0\)</c:formatCode>
                <c:ptCount val="12"/>
                <c:pt idx="0">
                  <c:v>-26874.561977522972</c:v>
                </c:pt>
                <c:pt idx="1">
                  <c:v>-37556.423955045932</c:v>
                </c:pt>
                <c:pt idx="2">
                  <c:v>-69338.489580764261</c:v>
                </c:pt>
                <c:pt idx="3">
                  <c:v>-234268.74522289453</c:v>
                </c:pt>
                <c:pt idx="4">
                  <c:v>-350953.19205780566</c:v>
                </c:pt>
              </c:numCache>
            </c:numRef>
          </c:val>
        </c:ser>
        <c:marker val="1"/>
        <c:axId val="246268672"/>
        <c:axId val="246270592"/>
      </c:lineChart>
      <c:dateAx>
        <c:axId val="24626867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627059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62705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1931435856874721E-2"/>
              <c:y val="0.49212083035075727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626867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163339590047532"/>
          <c:y val="0.94571243140062033"/>
          <c:w val="0.22744234182121864"/>
          <c:h val="4.20315915056073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Costs</a:t>
            </a:r>
          </a:p>
        </c:rich>
      </c:tx>
      <c:layout>
        <c:manualLayout>
          <c:xMode val="edge"/>
          <c:yMode val="edge"/>
          <c:x val="0.44484301624459105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4573991031391123E-2"/>
          <c:y val="0.13944954128440579"/>
          <c:w val="0.90224215246636752"/>
          <c:h val="0.72660550458716278"/>
        </c:manualLayout>
      </c:layout>
      <c:barChart>
        <c:barDir val="col"/>
        <c:grouping val="stacked"/>
        <c:ser>
          <c:idx val="1"/>
          <c:order val="0"/>
          <c:tx>
            <c:strRef>
              <c:f>'PGC GRAPHS'!$A$5</c:f>
              <c:strCache>
                <c:ptCount val="1"/>
                <c:pt idx="0">
                  <c:v>UNIT DEMAND COST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GRAPHS'!$B$5:$M$5</c:f>
              <c:numCache>
                <c:formatCode>"$"#,##0.00</c:formatCode>
                <c:ptCount val="12"/>
                <c:pt idx="0">
                  <c:v>7.1747255088173914</c:v>
                </c:pt>
                <c:pt idx="1">
                  <c:v>6.6790180378645418</c:v>
                </c:pt>
                <c:pt idx="2">
                  <c:v>6.1215509297971265</c:v>
                </c:pt>
                <c:pt idx="3">
                  <c:v>3.5989808344594509</c:v>
                </c:pt>
                <c:pt idx="4">
                  <c:v>1.4360779954293981</c:v>
                </c:pt>
                <c:pt idx="5">
                  <c:v>0.64300147579998135</c:v>
                </c:pt>
                <c:pt idx="6">
                  <c:v>0.64674790322189024</c:v>
                </c:pt>
                <c:pt idx="7">
                  <c:v>1.0008187127155344</c:v>
                </c:pt>
                <c:pt idx="8">
                  <c:v>1.2876571706838473</c:v>
                </c:pt>
                <c:pt idx="9">
                  <c:v>2.4866333066223345</c:v>
                </c:pt>
                <c:pt idx="10">
                  <c:v>5.1427132084908447</c:v>
                </c:pt>
                <c:pt idx="11">
                  <c:v>6.5307660606314002</c:v>
                </c:pt>
              </c:numCache>
            </c:numRef>
          </c:val>
        </c:ser>
        <c:ser>
          <c:idx val="0"/>
          <c:order val="1"/>
          <c:tx>
            <c:strRef>
              <c:f>'PGC GRAPHS'!$A$4</c:f>
              <c:strCache>
                <c:ptCount val="1"/>
                <c:pt idx="0">
                  <c:v>UNIT COMMODITY COST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GRAPHS'!$B$4:$M$4</c:f>
              <c:numCache>
                <c:formatCode>"$"#,##0.00</c:formatCode>
                <c:ptCount val="12"/>
                <c:pt idx="0">
                  <c:v>5.0270506225530909</c:v>
                </c:pt>
                <c:pt idx="1">
                  <c:v>4.9998957438896019</c:v>
                </c:pt>
                <c:pt idx="2">
                  <c:v>3.2544973177815648</c:v>
                </c:pt>
                <c:pt idx="3">
                  <c:v>3.8866973547055705</c:v>
                </c:pt>
                <c:pt idx="4">
                  <c:v>3.9856294602734552</c:v>
                </c:pt>
                <c:pt idx="5">
                  <c:v>5.1371488024738428</c:v>
                </c:pt>
                <c:pt idx="6">
                  <c:v>4.9699160594235385</c:v>
                </c:pt>
                <c:pt idx="7">
                  <c:v>4.544450574933049</c:v>
                </c:pt>
                <c:pt idx="8">
                  <c:v>4.8966138891864732</c:v>
                </c:pt>
                <c:pt idx="9">
                  <c:v>5.5543367538352104</c:v>
                </c:pt>
                <c:pt idx="10">
                  <c:v>5.7401197292702424</c:v>
                </c:pt>
                <c:pt idx="11">
                  <c:v>4.1871305107258774</c:v>
                </c:pt>
              </c:numCache>
            </c:numRef>
          </c:val>
        </c:ser>
        <c:overlap val="100"/>
        <c:axId val="247225344"/>
        <c:axId val="247235328"/>
      </c:barChart>
      <c:dateAx>
        <c:axId val="24722534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23532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7235328"/>
        <c:scaling>
          <c:orientation val="minMax"/>
          <c:max val="16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1.4349814381310447E-2"/>
              <c:y val="0.4697247099837755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225344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399106192807374"/>
          <c:y val="0.94311935244735623"/>
          <c:w val="0.28340810101440672"/>
          <c:h val="4.403678547815117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Costs with Average Unit Demand</a:t>
            </a:r>
          </a:p>
        </c:rich>
      </c:tx>
      <c:layout>
        <c:manualLayout>
          <c:xMode val="edge"/>
          <c:yMode val="edge"/>
          <c:x val="0.33231424775607316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394568475416186E-2"/>
          <c:y val="0.13944954128440579"/>
          <c:w val="0.88888977375781819"/>
          <c:h val="0.72660550458716278"/>
        </c:manualLayout>
      </c:layout>
      <c:barChart>
        <c:barDir val="col"/>
        <c:grouping val="stacked"/>
        <c:ser>
          <c:idx val="1"/>
          <c:order val="0"/>
          <c:tx>
            <c:strRef>
              <c:f>'PGC GRAPHS'!$A$7</c:f>
              <c:strCache>
                <c:ptCount val="1"/>
                <c:pt idx="0">
                  <c:v>PROJ AVG UNIT DEMAND COST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GRAPHS'!$B$7:$M$7</c:f>
              <c:numCache>
                <c:formatCode>"$"#,##0.00</c:formatCode>
                <c:ptCount val="12"/>
                <c:pt idx="0">
                  <c:v>1.7844603744428378</c:v>
                </c:pt>
                <c:pt idx="1">
                  <c:v>1.7844603744428378</c:v>
                </c:pt>
                <c:pt idx="2">
                  <c:v>1.7844603744428378</c:v>
                </c:pt>
                <c:pt idx="3">
                  <c:v>1.7844603744428378</c:v>
                </c:pt>
                <c:pt idx="4">
                  <c:v>1.7844603744428378</c:v>
                </c:pt>
                <c:pt idx="5">
                  <c:v>1.7844603744428378</c:v>
                </c:pt>
                <c:pt idx="6">
                  <c:v>1.7844603744428378</c:v>
                </c:pt>
                <c:pt idx="7">
                  <c:v>1.7844603744428378</c:v>
                </c:pt>
                <c:pt idx="8">
                  <c:v>1.7844603744428378</c:v>
                </c:pt>
                <c:pt idx="9">
                  <c:v>1.7844603744428378</c:v>
                </c:pt>
                <c:pt idx="10">
                  <c:v>1.7844603744428378</c:v>
                </c:pt>
                <c:pt idx="11">
                  <c:v>1.7844603744428378</c:v>
                </c:pt>
              </c:numCache>
            </c:numRef>
          </c:val>
        </c:ser>
        <c:ser>
          <c:idx val="0"/>
          <c:order val="1"/>
          <c:tx>
            <c:strRef>
              <c:f>'PGC GRAPHS'!$A$4</c:f>
              <c:strCache>
                <c:ptCount val="1"/>
                <c:pt idx="0">
                  <c:v>UNIT COMMODITY COST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GRAPHS'!$B$4:$M$4</c:f>
              <c:numCache>
                <c:formatCode>"$"#,##0.00</c:formatCode>
                <c:ptCount val="12"/>
                <c:pt idx="0">
                  <c:v>5.0270506225530909</c:v>
                </c:pt>
                <c:pt idx="1">
                  <c:v>4.9998957438896019</c:v>
                </c:pt>
                <c:pt idx="2">
                  <c:v>3.2544973177815648</c:v>
                </c:pt>
                <c:pt idx="3">
                  <c:v>3.8866973547055705</c:v>
                </c:pt>
                <c:pt idx="4">
                  <c:v>3.9856294602734552</c:v>
                </c:pt>
                <c:pt idx="5">
                  <c:v>5.1371488024738428</c:v>
                </c:pt>
                <c:pt idx="6">
                  <c:v>4.9699160594235385</c:v>
                </c:pt>
                <c:pt idx="7">
                  <c:v>4.544450574933049</c:v>
                </c:pt>
                <c:pt idx="8">
                  <c:v>4.8966138891864732</c:v>
                </c:pt>
                <c:pt idx="9">
                  <c:v>5.5543367538352104</c:v>
                </c:pt>
                <c:pt idx="10">
                  <c:v>5.7401197292702424</c:v>
                </c:pt>
                <c:pt idx="11">
                  <c:v>4.1871305107258774</c:v>
                </c:pt>
              </c:numCache>
            </c:numRef>
          </c:val>
        </c:ser>
        <c:overlap val="100"/>
        <c:axId val="247260672"/>
        <c:axId val="247262208"/>
      </c:barChart>
      <c:dateAx>
        <c:axId val="24726067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26220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7262208"/>
        <c:scaling>
          <c:orientation val="minMax"/>
          <c:max val="16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1.6309905706231181E-2"/>
              <c:y val="0.4697247099837755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260672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110128209282834"/>
          <c:y val="0.94311935244735623"/>
          <c:w val="0.39347644816003335"/>
          <c:h val="4.403678547815117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Costs vs Rate</a:t>
            </a:r>
          </a:p>
        </c:rich>
      </c:tx>
      <c:layout>
        <c:manualLayout>
          <c:xMode val="edge"/>
          <c:yMode val="edge"/>
          <c:x val="0.4057088234341078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394568475416186E-2"/>
          <c:y val="0.13944954128440579"/>
          <c:w val="0.88888977375781819"/>
          <c:h val="0.72660550458716278"/>
        </c:manualLayout>
      </c:layout>
      <c:lineChart>
        <c:grouping val="standard"/>
        <c:ser>
          <c:idx val="0"/>
          <c:order val="0"/>
          <c:tx>
            <c:strRef>
              <c:f>'PGC GRAPHS'!$A$6</c:f>
              <c:strCache>
                <c:ptCount val="1"/>
                <c:pt idx="0">
                  <c:v>UNIT COST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GRAPHS'!$B$6:$M$6</c:f>
              <c:numCache>
                <c:formatCode>"$"#,##0.00</c:formatCode>
                <c:ptCount val="12"/>
                <c:pt idx="0">
                  <c:v>12.201776131370483</c:v>
                </c:pt>
                <c:pt idx="1">
                  <c:v>11.678913781754144</c:v>
                </c:pt>
                <c:pt idx="2">
                  <c:v>9.3760482475786908</c:v>
                </c:pt>
                <c:pt idx="3">
                  <c:v>7.4856781891650215</c:v>
                </c:pt>
                <c:pt idx="4">
                  <c:v>5.4217074557028528</c:v>
                </c:pt>
                <c:pt idx="5">
                  <c:v>5.7801502782738243</c:v>
                </c:pt>
                <c:pt idx="6">
                  <c:v>5.6166639626454291</c:v>
                </c:pt>
                <c:pt idx="7">
                  <c:v>5.5452692876485834</c:v>
                </c:pt>
                <c:pt idx="8">
                  <c:v>6.184271059870321</c:v>
                </c:pt>
                <c:pt idx="9">
                  <c:v>8.0409700604575445</c:v>
                </c:pt>
                <c:pt idx="10">
                  <c:v>10.882832937761087</c:v>
                </c:pt>
                <c:pt idx="11">
                  <c:v>10.717896571357278</c:v>
                </c:pt>
              </c:numCache>
            </c:numRef>
          </c:val>
        </c:ser>
        <c:ser>
          <c:idx val="1"/>
          <c:order val="1"/>
          <c:tx>
            <c:strRef>
              <c:f>'PGC GRAPHS'!$A$8</c:f>
              <c:strCache>
                <c:ptCount val="1"/>
                <c:pt idx="0">
                  <c:v>PGC RATE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GRAPHS'!$B$8:$M$8</c:f>
              <c:numCache>
                <c:formatCode>"$"#,##0.00</c:formatCode>
                <c:ptCount val="12"/>
                <c:pt idx="0">
                  <c:v>7.35</c:v>
                </c:pt>
                <c:pt idx="1">
                  <c:v>7.35</c:v>
                </c:pt>
                <c:pt idx="2">
                  <c:v>7.35</c:v>
                </c:pt>
                <c:pt idx="3">
                  <c:v>7.35</c:v>
                </c:pt>
                <c:pt idx="4">
                  <c:v>7.35</c:v>
                </c:pt>
                <c:pt idx="5">
                  <c:v>6.95</c:v>
                </c:pt>
                <c:pt idx="6">
                  <c:v>6.95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</c:numCache>
            </c:numRef>
          </c:val>
        </c:ser>
        <c:marker val="1"/>
        <c:axId val="247303552"/>
        <c:axId val="247420416"/>
      </c:lineChart>
      <c:dateAx>
        <c:axId val="24730355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42041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7420416"/>
        <c:scaling>
          <c:orientation val="minMax"/>
          <c:max val="16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1.6309905706231181E-2"/>
              <c:y val="0.4697247099837755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303552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080576347710013"/>
          <c:y val="0.94311935244735623"/>
          <c:w val="0.21406748539149009"/>
          <c:h val="4.403678547815117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PGC Costs vs Revenue</a:t>
            </a:r>
          </a:p>
        </c:rich>
      </c:tx>
      <c:layout>
        <c:manualLayout>
          <c:xMode val="edge"/>
          <c:yMode val="edge"/>
          <c:x val="0.37385157102276489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5802009787589797E-2"/>
          <c:y val="0.13944954128440579"/>
          <c:w val="0.87640624283038104"/>
          <c:h val="0.81467889908256885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GRAPHS'!$B$59:$M$59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GRAPHS'!$B$63:$M$63</c:f>
              <c:numCache>
                <c:formatCode>"$"#,##0.0_);[Red]\("$"#,##0.0\)</c:formatCode>
                <c:ptCount val="12"/>
                <c:pt idx="0">
                  <c:v>-0.80843475369821438</c:v>
                </c:pt>
                <c:pt idx="1">
                  <c:v>-0.76227737284585761</c:v>
                </c:pt>
                <c:pt idx="2">
                  <c:v>-0.23603223258370454</c:v>
                </c:pt>
                <c:pt idx="3">
                  <c:v>0.1665944809339992</c:v>
                </c:pt>
                <c:pt idx="4">
                  <c:v>2.3381989574364539</c:v>
                </c:pt>
                <c:pt idx="5">
                  <c:v>2.8881430919330491</c:v>
                </c:pt>
                <c:pt idx="6">
                  <c:v>3.2893254330729356</c:v>
                </c:pt>
                <c:pt idx="7">
                  <c:v>1.5548948805280691</c:v>
                </c:pt>
                <c:pt idx="8">
                  <c:v>0.46125590597661414</c:v>
                </c:pt>
                <c:pt idx="9">
                  <c:v>-0.8287243860622775</c:v>
                </c:pt>
                <c:pt idx="10">
                  <c:v>-1.2294610637711951</c:v>
                </c:pt>
                <c:pt idx="11">
                  <c:v>-0.8304907584578971</c:v>
                </c:pt>
              </c:numCache>
            </c:numRef>
          </c:val>
        </c:ser>
        <c:axId val="247445376"/>
        <c:axId val="247446912"/>
      </c:barChart>
      <c:dateAx>
        <c:axId val="24744537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44691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74469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6343281163928587E-2"/>
              <c:y val="0.49908256696921449"/>
            </c:manualLayout>
          </c:layout>
          <c:spPr>
            <a:noFill/>
            <a:ln w="25400">
              <a:noFill/>
            </a:ln>
          </c:spPr>
        </c:title>
        <c:numFmt formatCode="&quot;$&quot;#,##0.0_);[Red]\(&quot;$&quot;#,##0.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44537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 Cumulative PGC Recovery %</a:t>
            </a:r>
          </a:p>
        </c:rich>
      </c:tx>
      <c:layout>
        <c:manualLayout>
          <c:xMode val="edge"/>
          <c:yMode val="edge"/>
          <c:x val="0.35166818821560797"/>
          <c:y val="2.84192294817122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8367899008115466E-2"/>
          <c:y val="0.15808170515097691"/>
          <c:w val="0.88728584310189362"/>
          <c:h val="0.79396092362344584"/>
        </c:manualLayout>
      </c:layout>
      <c:lineChart>
        <c:grouping val="standard"/>
        <c:ser>
          <c:idx val="0"/>
          <c:order val="0"/>
          <c:tx>
            <c:strRef>
              <c:f>'PGC GRAPHS'!$A$139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elete val="1"/>
          </c:dLbls>
          <c:cat>
            <c:numRef>
              <c:f>'PGC GRAPHS'!$B$138:$M$138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GRAPHS'!$B$139:$M$139</c:f>
              <c:numCache>
                <c:formatCode>0.0%</c:formatCode>
                <c:ptCount val="12"/>
                <c:pt idx="0">
                  <c:v>2.5630207287047498E-3</c:v>
                </c:pt>
                <c:pt idx="1">
                  <c:v>-1.0545863722407362E-2</c:v>
                </c:pt>
                <c:pt idx="2">
                  <c:v>-1.4862041156575054E-2</c:v>
                </c:pt>
                <c:pt idx="3">
                  <c:v>-1.2693637428484644E-2</c:v>
                </c:pt>
                <c:pt idx="4">
                  <c:v>1.8475496915779044E-2</c:v>
                </c:pt>
                <c:pt idx="5">
                  <c:v>8.8327988178444283E-2</c:v>
                </c:pt>
                <c:pt idx="6">
                  <c:v>0.1330967097100634</c:v>
                </c:pt>
                <c:pt idx="7">
                  <c:v>0.15421257331935134</c:v>
                </c:pt>
                <c:pt idx="8">
                  <c:v>0.15993333448887059</c:v>
                </c:pt>
                <c:pt idx="9">
                  <c:v>0.14657410987159805</c:v>
                </c:pt>
                <c:pt idx="10">
                  <c:v>0.12736537281980623</c:v>
                </c:pt>
                <c:pt idx="11">
                  <c:v>0.11350685161686966</c:v>
                </c:pt>
              </c:numCache>
            </c:numRef>
          </c:val>
        </c:ser>
        <c:dLbls>
          <c:showVal val="1"/>
        </c:dLbls>
        <c:marker val="1"/>
        <c:axId val="247327360"/>
        <c:axId val="247694080"/>
      </c:lineChart>
      <c:dateAx>
        <c:axId val="24732736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69408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7694080"/>
        <c:scaling>
          <c:orientation val="minMax"/>
          <c:max val="0.1"/>
          <c:min val="-0.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4274221157138E-2"/>
              <c:y val="0.49733564265649777"/>
            </c:manualLayout>
          </c:layout>
          <c:spPr>
            <a:noFill/>
            <a:ln w="25400">
              <a:noFill/>
            </a:ln>
          </c:spPr>
        </c:title>
        <c:numFmt formatCode="0%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327360"/>
        <c:crosses val="autoZero"/>
        <c:crossBetween val="between"/>
        <c:majorUnit val="0.05"/>
        <c:minorUnit val="1.0000000000000005E-2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'PGC GRAPHS'!$A$4</c:f>
              <c:strCache>
                <c:ptCount val="1"/>
                <c:pt idx="0">
                  <c:v>UNIT COMMODITY COST</c:v>
                </c:pt>
              </c:strCache>
            </c:strRef>
          </c:tx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GRAPHS'!$B$4:$M$4</c:f>
              <c:numCache>
                <c:formatCode>"$"#,##0.00</c:formatCode>
                <c:ptCount val="12"/>
                <c:pt idx="0">
                  <c:v>5.0270506225530909</c:v>
                </c:pt>
                <c:pt idx="1">
                  <c:v>4.9998957438896019</c:v>
                </c:pt>
                <c:pt idx="2">
                  <c:v>3.2544973177815648</c:v>
                </c:pt>
                <c:pt idx="3">
                  <c:v>3.8866973547055705</c:v>
                </c:pt>
                <c:pt idx="4">
                  <c:v>3.9856294602734552</c:v>
                </c:pt>
                <c:pt idx="5">
                  <c:v>5.1371488024738428</c:v>
                </c:pt>
                <c:pt idx="6">
                  <c:v>4.9699160594235385</c:v>
                </c:pt>
                <c:pt idx="7">
                  <c:v>4.544450574933049</c:v>
                </c:pt>
                <c:pt idx="8">
                  <c:v>4.8966138891864732</c:v>
                </c:pt>
                <c:pt idx="9">
                  <c:v>5.5543367538352104</c:v>
                </c:pt>
                <c:pt idx="10">
                  <c:v>5.7401197292702424</c:v>
                </c:pt>
                <c:pt idx="11">
                  <c:v>4.1871305107258774</c:v>
                </c:pt>
              </c:numCache>
            </c:numRef>
          </c:val>
        </c:ser>
        <c:ser>
          <c:idx val="1"/>
          <c:order val="1"/>
          <c:tx>
            <c:strRef>
              <c:f>'PGC GRAPHS'!$A$10</c:f>
              <c:strCache>
                <c:ptCount val="1"/>
                <c:pt idx="0">
                  <c:v>NYMEX</c:v>
                </c:pt>
              </c:strCache>
            </c:strRef>
          </c:tx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GRAPHS'!$B$10:$M$10</c:f>
              <c:numCache>
                <c:formatCode>"$"#,##0.00</c:formatCode>
                <c:ptCount val="12"/>
                <c:pt idx="0">
                  <c:v>4.7169999999999996</c:v>
                </c:pt>
                <c:pt idx="1">
                  <c:v>4.774</c:v>
                </c:pt>
                <c:pt idx="2">
                  <c:v>3.6509999999999998</c:v>
                </c:pt>
                <c:pt idx="3">
                  <c:v>3.8370000000000002</c:v>
                </c:pt>
                <c:pt idx="4">
                  <c:v>3.2919999999999998</c:v>
                </c:pt>
                <c:pt idx="5">
                  <c:v>4.2670000000000003</c:v>
                </c:pt>
                <c:pt idx="6">
                  <c:v>4.2160000000000002</c:v>
                </c:pt>
                <c:pt idx="7">
                  <c:v>4.3159999999999998</c:v>
                </c:pt>
                <c:pt idx="8">
                  <c:v>3.7930000000000001</c:v>
                </c:pt>
                <c:pt idx="9">
                  <c:v>4.24</c:v>
                </c:pt>
                <c:pt idx="10">
                  <c:v>4.3769999999999998</c:v>
                </c:pt>
                <c:pt idx="11">
                  <c:v>4.3259999999999996</c:v>
                </c:pt>
              </c:numCache>
            </c:numRef>
          </c:val>
        </c:ser>
        <c:ser>
          <c:idx val="2"/>
          <c:order val="2"/>
          <c:tx>
            <c:strRef>
              <c:f>'PGC GRAPHS'!$A$11</c:f>
              <c:strCache>
                <c:ptCount val="1"/>
                <c:pt idx="0">
                  <c:v>WACOG</c:v>
                </c:pt>
              </c:strCache>
            </c:strRef>
          </c:tx>
          <c:cat>
            <c:numRef>
              <c:f>'PGC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'PGC GRAPHS'!$B$11:$M$11</c:f>
              <c:numCache>
                <c:formatCode>"$"#,##0.00</c:formatCode>
                <c:ptCount val="12"/>
                <c:pt idx="0">
                  <c:v>5.3218848167539266</c:v>
                </c:pt>
                <c:pt idx="1">
                  <c:v>5.385549738219896</c:v>
                </c:pt>
                <c:pt idx="2">
                  <c:v>4.1312390924956368</c:v>
                </c:pt>
                <c:pt idx="3">
                  <c:v>4.3389877835951136</c:v>
                </c:pt>
                <c:pt idx="4">
                  <c:v>3.730261780104712</c:v>
                </c:pt>
                <c:pt idx="5">
                  <c:v>4.8192670157068074</c:v>
                </c:pt>
                <c:pt idx="6">
                  <c:v>4.7623036649214656</c:v>
                </c:pt>
                <c:pt idx="7">
                  <c:v>4.8739965095986042</c:v>
                </c:pt>
                <c:pt idx="8">
                  <c:v>4.2898429319371729</c:v>
                </c:pt>
                <c:pt idx="9">
                  <c:v>4.7891099476439791</c:v>
                </c:pt>
                <c:pt idx="10">
                  <c:v>4.9421291448516582</c:v>
                </c:pt>
                <c:pt idx="11">
                  <c:v>4.8851657940663173</c:v>
                </c:pt>
              </c:numCache>
            </c:numRef>
          </c:val>
        </c:ser>
        <c:marker val="1"/>
        <c:axId val="247715328"/>
        <c:axId val="247716864"/>
      </c:lineChart>
      <c:dateAx>
        <c:axId val="247715328"/>
        <c:scaling>
          <c:orientation val="minMax"/>
        </c:scaling>
        <c:axPos val="b"/>
        <c:numFmt formatCode="mmm\-yy" sourceLinked="1"/>
        <c:tickLblPos val="nextTo"/>
        <c:crossAx val="247716864"/>
        <c:crosses val="autoZero"/>
        <c:auto val="1"/>
        <c:lblOffset val="100"/>
      </c:dateAx>
      <c:valAx>
        <c:axId val="247716864"/>
        <c:scaling>
          <c:orientation val="minMax"/>
        </c:scaling>
        <c:axPos val="l"/>
        <c:majorGridlines/>
        <c:numFmt formatCode="&quot;$&quot;#,##0.00" sourceLinked="1"/>
        <c:tickLblPos val="nextTo"/>
        <c:crossAx val="24771532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Monthly Commodity &amp; Demand Costs</a:t>
            </a:r>
          </a:p>
        </c:rich>
      </c:tx>
      <c:layout>
        <c:manualLayout>
          <c:xMode val="edge"/>
          <c:yMode val="edge"/>
          <c:x val="0.32406520130930205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2320230105465134E-2"/>
          <c:y val="0.13944954128440579"/>
          <c:w val="0.90220517737296257"/>
          <c:h val="0.72660550458716278"/>
        </c:manualLayout>
      </c:layout>
      <c:barChart>
        <c:barDir val="col"/>
        <c:grouping val="stacked"/>
        <c:ser>
          <c:idx val="0"/>
          <c:order val="0"/>
          <c:tx>
            <c:strRef>
              <c:f>'NONPGC GRAPHS'!$A$4</c:f>
              <c:strCache>
                <c:ptCount val="1"/>
                <c:pt idx="0">
                  <c:v>DEMAND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'NONPGC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'NONPGC GRAPHS'!$B$4:$M$4</c:f>
              <c:numCache>
                <c:formatCode>"$"#,##0.0</c:formatCode>
                <c:ptCount val="12"/>
                <c:pt idx="0">
                  <c:v>0.15191705</c:v>
                </c:pt>
                <c:pt idx="1">
                  <c:v>0.14784145000000001</c:v>
                </c:pt>
                <c:pt idx="2">
                  <c:v>0.12527558999999999</c:v>
                </c:pt>
                <c:pt idx="3">
                  <c:v>0.153586</c:v>
                </c:pt>
                <c:pt idx="4">
                  <c:v>0.15768148999999998</c:v>
                </c:pt>
                <c:pt idx="5">
                  <c:v>0.14046796</c:v>
                </c:pt>
                <c:pt idx="6">
                  <c:v>0.14930082</c:v>
                </c:pt>
                <c:pt idx="7">
                  <c:v>0.14912612</c:v>
                </c:pt>
                <c:pt idx="8">
                  <c:v>0.12885064999999998</c:v>
                </c:pt>
                <c:pt idx="9">
                  <c:v>0.13167326999999998</c:v>
                </c:pt>
                <c:pt idx="10">
                  <c:v>0.15472969</c:v>
                </c:pt>
                <c:pt idx="11">
                  <c:v>0.15130872999999997</c:v>
                </c:pt>
              </c:numCache>
            </c:numRef>
          </c:val>
        </c:ser>
        <c:ser>
          <c:idx val="1"/>
          <c:order val="1"/>
          <c:tx>
            <c:strRef>
              <c:f>'NONPGC GRAPHS'!$A$5</c:f>
              <c:strCache>
                <c:ptCount val="1"/>
                <c:pt idx="0">
                  <c:v>COMMODITY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'NONPGC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'NONPGC GRAPHS'!$B$5:$M$5</c:f>
              <c:numCache>
                <c:formatCode>"$"#,##0.0</c:formatCode>
                <c:ptCount val="12"/>
                <c:pt idx="0">
                  <c:v>1.1779246978010469</c:v>
                </c:pt>
                <c:pt idx="1">
                  <c:v>1.2330016860314137</c:v>
                </c:pt>
                <c:pt idx="2">
                  <c:v>1.0240680712041883</c:v>
                </c:pt>
                <c:pt idx="3">
                  <c:v>1.1835240027923211</c:v>
                </c:pt>
                <c:pt idx="4">
                  <c:v>1.3481576388691101</c:v>
                </c:pt>
                <c:pt idx="5">
                  <c:v>2.0066263747015709</c:v>
                </c:pt>
                <c:pt idx="6">
                  <c:v>2.1115287706806281</c:v>
                </c:pt>
                <c:pt idx="7">
                  <c:v>1.6964196318324609</c:v>
                </c:pt>
                <c:pt idx="8">
                  <c:v>1.4228573488586387</c:v>
                </c:pt>
                <c:pt idx="9">
                  <c:v>1.5761152402094241</c:v>
                </c:pt>
                <c:pt idx="10">
                  <c:v>1.1913526169354276</c:v>
                </c:pt>
                <c:pt idx="11">
                  <c:v>1.080554707155323</c:v>
                </c:pt>
              </c:numCache>
            </c:numRef>
          </c:val>
        </c:ser>
        <c:overlap val="100"/>
        <c:axId val="248169984"/>
        <c:axId val="248171520"/>
      </c:barChart>
      <c:dateAx>
        <c:axId val="24816998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17152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81715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5340345970267243E-2"/>
              <c:y val="0.45504578149105407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1699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953019386090652"/>
          <c:y val="0.94311935244735623"/>
          <c:w val="0.16682647777135964"/>
          <c:h val="4.403678547815117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3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Requirements</a:t>
            </a:r>
          </a:p>
        </c:rich>
      </c:tx>
      <c:layout>
        <c:manualLayout>
          <c:xMode val="edge"/>
          <c:yMode val="edge"/>
          <c:x val="0.37852432296295579"/>
          <c:y val="2.59209029466217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9184163167366525E-2"/>
          <c:y val="0.15006861269134991"/>
          <c:w val="0.89502099580083949"/>
          <c:h val="0.72442212126460459"/>
        </c:manualLayout>
      </c:layout>
      <c:barChart>
        <c:barDir val="col"/>
        <c:grouping val="stacked"/>
        <c:ser>
          <c:idx val="1"/>
          <c:order val="0"/>
          <c:tx>
            <c:strRef>
              <c:f>'TOTAL GRAPHS'!$A$99</c:f>
              <c:strCache>
                <c:ptCount val="1"/>
                <c:pt idx="0">
                  <c:v>NON-PGC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GRAPHS'!$B$97:$M$97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GRAPHS'!$B$99:$M$99</c:f>
              <c:numCache>
                <c:formatCode>#,##0</c:formatCode>
                <c:ptCount val="12"/>
                <c:pt idx="0">
                  <c:v>221336</c:v>
                </c:pt>
                <c:pt idx="1">
                  <c:v>228946.3</c:v>
                </c:pt>
                <c:pt idx="2">
                  <c:v>247884</c:v>
                </c:pt>
                <c:pt idx="3">
                  <c:v>272765</c:v>
                </c:pt>
                <c:pt idx="4">
                  <c:v>329173.8</c:v>
                </c:pt>
                <c:pt idx="5">
                  <c:v>419536.6</c:v>
                </c:pt>
                <c:pt idx="6">
                  <c:v>444747</c:v>
                </c:pt>
                <c:pt idx="7">
                  <c:v>352434.3</c:v>
                </c:pt>
                <c:pt idx="8">
                  <c:v>319091.19999999995</c:v>
                </c:pt>
                <c:pt idx="9">
                  <c:v>329104</c:v>
                </c:pt>
                <c:pt idx="10">
                  <c:v>241060.59999999998</c:v>
                </c:pt>
                <c:pt idx="11">
                  <c:v>221191</c:v>
                </c:pt>
              </c:numCache>
            </c:numRef>
          </c:val>
        </c:ser>
        <c:ser>
          <c:idx val="0"/>
          <c:order val="1"/>
          <c:tx>
            <c:strRef>
              <c:f>'TOTAL GRAPHS'!$A$98</c:f>
              <c:strCache>
                <c:ptCount val="1"/>
                <c:pt idx="0">
                  <c:v>PGC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GRAPHS'!$B$97:$M$97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GRAPHS'!$B$98:$M$98</c:f>
              <c:numCache>
                <c:formatCode>#,##0</c:formatCode>
                <c:ptCount val="12"/>
                <c:pt idx="0">
                  <c:v>238580.8</c:v>
                </c:pt>
                <c:pt idx="1">
                  <c:v>254773.5</c:v>
                </c:pt>
                <c:pt idx="2">
                  <c:v>279880</c:v>
                </c:pt>
                <c:pt idx="3">
                  <c:v>504923</c:v>
                </c:pt>
                <c:pt idx="4">
                  <c:v>1182529.3</c:v>
                </c:pt>
                <c:pt idx="5">
                  <c:v>2571218.2000000002</c:v>
                </c:pt>
                <c:pt idx="6">
                  <c:v>2556244</c:v>
                </c:pt>
                <c:pt idx="7">
                  <c:v>1644464.4000000001</c:v>
                </c:pt>
                <c:pt idx="8">
                  <c:v>1338733.7999999998</c:v>
                </c:pt>
                <c:pt idx="9">
                  <c:v>635148.20000000007</c:v>
                </c:pt>
                <c:pt idx="10">
                  <c:v>360199.8</c:v>
                </c:pt>
                <c:pt idx="11">
                  <c:v>278060.90000000002</c:v>
                </c:pt>
              </c:numCache>
            </c:numRef>
          </c:val>
        </c:ser>
        <c:overlap val="100"/>
        <c:axId val="248230272"/>
        <c:axId val="248231808"/>
      </c:barChart>
      <c:dateAx>
        <c:axId val="24823027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23180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82318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9.5980941428791024E-3"/>
              <c:y val="0.4829481088235075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23027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5590883819063982"/>
          <c:y val="0.93861093142394025"/>
          <c:w val="0.14157166684882555"/>
          <c:h val="5.184195459986734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Annual Mcf Requirements</a:t>
            </a:r>
          </a:p>
        </c:rich>
      </c:tx>
      <c:layout>
        <c:manualLayout>
          <c:xMode val="edge"/>
          <c:yMode val="edge"/>
          <c:x val="0.39390318998587603"/>
          <c:y val="2.62068602456211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37537358039450797"/>
          <c:y val="0.24551724137931313"/>
          <c:w val="0.24985056784219994"/>
          <c:h val="0.57655172413792466"/>
        </c:manualLayout>
      </c:layout>
      <c:pieChart>
        <c:varyColors val="1"/>
        <c:ser>
          <c:idx val="0"/>
          <c:order val="0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1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5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showLeaderLines val="1"/>
          </c:dLbls>
          <c:cat>
            <c:strRef>
              <c:f>'TOTAL GRAPHS'!$A$98:$A$99</c:f>
              <c:strCache>
                <c:ptCount val="2"/>
                <c:pt idx="0">
                  <c:v>PGC</c:v>
                </c:pt>
                <c:pt idx="1">
                  <c:v>NON-PGC</c:v>
                </c:pt>
              </c:strCache>
            </c:strRef>
          </c:cat>
          <c:val>
            <c:numRef>
              <c:f>'TOTAL GRAPHS'!$N$98:$N$99</c:f>
              <c:numCache>
                <c:formatCode>#,##0</c:formatCode>
                <c:ptCount val="2"/>
                <c:pt idx="0">
                  <c:v>11844755.9</c:v>
                </c:pt>
                <c:pt idx="1">
                  <c:v>3627269.8000000003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45248056733293657"/>
          <c:y val="0.95310350532830967"/>
          <c:w val="9.563660912578377E-2"/>
          <c:h val="3.72413118847258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Costs for PGC and Non-PGC</a:t>
            </a:r>
          </a:p>
        </c:rich>
      </c:tx>
      <c:layout>
        <c:manualLayout>
          <c:xMode val="edge"/>
          <c:yMode val="edge"/>
          <c:x val="0.37797124339049953"/>
          <c:y val="2.718177315502760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1014521634127133E-2"/>
          <c:y val="0.13304739617896938"/>
          <c:w val="0.92405849414543373"/>
          <c:h val="0.7510740106877255"/>
        </c:manualLayout>
      </c:layout>
      <c:barChart>
        <c:barDir val="col"/>
        <c:grouping val="stacked"/>
        <c:ser>
          <c:idx val="0"/>
          <c:order val="0"/>
          <c:tx>
            <c:strRef>
              <c:f>'TOTAL GRAPHS'!$A$4</c:f>
              <c:strCache>
                <c:ptCount val="1"/>
                <c:pt idx="0">
                  <c:v>PGC COMMODITY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GRAPHS'!$B$4:$M$4</c:f>
              <c:numCache>
                <c:formatCode>"$"#,##0.0</c:formatCode>
                <c:ptCount val="12"/>
                <c:pt idx="0">
                  <c:v>1.1993577591692144</c:v>
                </c:pt>
                <c:pt idx="1">
                  <c:v>1.2738409383058575</c:v>
                </c:pt>
                <c:pt idx="2">
                  <c:v>0.9108687093007044</c:v>
                </c:pt>
                <c:pt idx="3">
                  <c:v>1.9624828884300007</c:v>
                </c:pt>
                <c:pt idx="4">
                  <c:v>4.7131236157165466</c:v>
                </c:pt>
                <c:pt idx="5">
                  <c:v>13.208730497028951</c:v>
                </c:pt>
                <c:pt idx="6">
                  <c:v>12.704318107405065</c:v>
                </c:pt>
                <c:pt idx="7">
                  <c:v>7.4731871880369329</c:v>
                </c:pt>
                <c:pt idx="8">
                  <c:v>6.555262519003386</c:v>
                </c:pt>
                <c:pt idx="9">
                  <c:v>3.5278269913922773</c:v>
                </c:pt>
                <c:pt idx="10">
                  <c:v>2.0675899784591953</c:v>
                </c:pt>
                <c:pt idx="11">
                  <c:v>1.1642772782298971</c:v>
                </c:pt>
              </c:numCache>
            </c:numRef>
          </c:val>
        </c:ser>
        <c:ser>
          <c:idx val="1"/>
          <c:order val="1"/>
          <c:tx>
            <c:strRef>
              <c:f>'TOTAL GRAPHS'!$A$5</c:f>
              <c:strCache>
                <c:ptCount val="1"/>
                <c:pt idx="0">
                  <c:v>PGC DEMAND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GRAPHS'!$B$5:$M$5</c:f>
              <c:numCache>
                <c:formatCode>"$"#,##0.0</c:formatCode>
                <c:ptCount val="12"/>
                <c:pt idx="0">
                  <c:v>1.3007834745289999</c:v>
                </c:pt>
                <c:pt idx="1">
                  <c:v>1.2953200755400001</c:v>
                </c:pt>
                <c:pt idx="2">
                  <c:v>1.311370883283</c:v>
                </c:pt>
                <c:pt idx="3">
                  <c:v>1.4813081206359999</c:v>
                </c:pt>
                <c:pt idx="4">
                  <c:v>1.464543789847</c:v>
                </c:pt>
                <c:pt idx="5">
                  <c:v>1.4770290450380001</c:v>
                </c:pt>
                <c:pt idx="6">
                  <c:v>1.4755950515220002</c:v>
                </c:pt>
                <c:pt idx="7">
                  <c:v>1.4546270474349996</c:v>
                </c:pt>
                <c:pt idx="8">
                  <c:v>1.4846070390200001</c:v>
                </c:pt>
                <c:pt idx="9">
                  <c:v>1.3141767506699999</c:v>
                </c:pt>
                <c:pt idx="10">
                  <c:v>1.4103320133120001</c:v>
                </c:pt>
                <c:pt idx="11">
                  <c:v>1.4057787422279999</c:v>
                </c:pt>
              </c:numCache>
            </c:numRef>
          </c:val>
        </c:ser>
        <c:ser>
          <c:idx val="2"/>
          <c:order val="2"/>
          <c:tx>
            <c:strRef>
              <c:f>'TOTAL GRAPHS'!$A$6</c:f>
              <c:strCache>
                <c:ptCount val="1"/>
                <c:pt idx="0">
                  <c:v>NON-PGC COMMODITY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GRAPHS'!$B$6:$M$6</c:f>
              <c:numCache>
                <c:formatCode>"$"#,##0.0</c:formatCode>
                <c:ptCount val="12"/>
                <c:pt idx="0">
                  <c:v>1.1779246978010469</c:v>
                </c:pt>
                <c:pt idx="1">
                  <c:v>1.2330016860314137</c:v>
                </c:pt>
                <c:pt idx="2">
                  <c:v>1.0240680712041883</c:v>
                </c:pt>
                <c:pt idx="3">
                  <c:v>1.1835240027923211</c:v>
                </c:pt>
                <c:pt idx="4">
                  <c:v>1.3481576388691101</c:v>
                </c:pt>
                <c:pt idx="5">
                  <c:v>2.0066263747015709</c:v>
                </c:pt>
                <c:pt idx="6">
                  <c:v>2.1115287706806281</c:v>
                </c:pt>
                <c:pt idx="7">
                  <c:v>1.6964196318324609</c:v>
                </c:pt>
                <c:pt idx="8">
                  <c:v>1.4228573488586387</c:v>
                </c:pt>
                <c:pt idx="9">
                  <c:v>1.5761152402094241</c:v>
                </c:pt>
                <c:pt idx="10">
                  <c:v>1.1913526169354276</c:v>
                </c:pt>
                <c:pt idx="11">
                  <c:v>1.080554707155323</c:v>
                </c:pt>
              </c:numCache>
            </c:numRef>
          </c:val>
        </c:ser>
        <c:ser>
          <c:idx val="3"/>
          <c:order val="3"/>
          <c:tx>
            <c:strRef>
              <c:f>'TOTAL GRAPHS'!$A$7</c:f>
              <c:strCache>
                <c:ptCount val="1"/>
                <c:pt idx="0">
                  <c:v>NON-PGC DEMAND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GRAPHS'!$B$3:$M$3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GRAPHS'!$B$7:$M$7</c:f>
              <c:numCache>
                <c:formatCode>"$"#,##0.0</c:formatCode>
                <c:ptCount val="12"/>
                <c:pt idx="0">
                  <c:v>0.15191705</c:v>
                </c:pt>
                <c:pt idx="1">
                  <c:v>0.14784145000000001</c:v>
                </c:pt>
                <c:pt idx="2">
                  <c:v>0.12527558999999999</c:v>
                </c:pt>
                <c:pt idx="3">
                  <c:v>0.153586</c:v>
                </c:pt>
                <c:pt idx="4">
                  <c:v>0.15768148999999998</c:v>
                </c:pt>
                <c:pt idx="5">
                  <c:v>0.14046796</c:v>
                </c:pt>
                <c:pt idx="6">
                  <c:v>0.14930082</c:v>
                </c:pt>
                <c:pt idx="7">
                  <c:v>0.14912612</c:v>
                </c:pt>
                <c:pt idx="8">
                  <c:v>0.12885064999999998</c:v>
                </c:pt>
                <c:pt idx="9">
                  <c:v>0.13167326999999998</c:v>
                </c:pt>
                <c:pt idx="10">
                  <c:v>0.15472969</c:v>
                </c:pt>
                <c:pt idx="11">
                  <c:v>0.15130872999999997</c:v>
                </c:pt>
              </c:numCache>
            </c:numRef>
          </c:val>
        </c:ser>
        <c:overlap val="100"/>
        <c:axId val="248597504"/>
        <c:axId val="248623872"/>
      </c:barChart>
      <c:dateAx>
        <c:axId val="24859750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62387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86238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9.2753915964586247E-3"/>
              <c:y val="0.46208936364381387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5975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115963055638425"/>
          <c:y val="0.95136034444431439"/>
          <c:w val="0.38318863203324638"/>
          <c:h val="3.862659069547958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Commodity &amp; Demand Gas Costs</a:t>
            </a:r>
          </a:p>
        </c:rich>
      </c:tx>
      <c:layout>
        <c:manualLayout>
          <c:xMode val="edge"/>
          <c:yMode val="edge"/>
          <c:x val="0.37448582972072786"/>
          <c:y val="2.65735650968158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1734303657719527E-2"/>
          <c:y val="0.13007028537556101"/>
          <c:w val="0.92298700843885972"/>
          <c:h val="0.75664542352882214"/>
        </c:manualLayout>
      </c:layout>
      <c:barChart>
        <c:barDir val="col"/>
        <c:grouping val="stacked"/>
        <c:ser>
          <c:idx val="0"/>
          <c:order val="0"/>
          <c:tx>
            <c:strRef>
              <c:f>'TOTAL GRAPHS'!$A$36</c:f>
              <c:strCache>
                <c:ptCount val="1"/>
                <c:pt idx="0">
                  <c:v>COMMODITY 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GRAPHS'!$B$35:$M$35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GRAPHS'!$B$36:$M$36</c:f>
              <c:numCache>
                <c:formatCode>"$"#,##0.0</c:formatCode>
                <c:ptCount val="12"/>
                <c:pt idx="0">
                  <c:v>2.3772824569702613</c:v>
                </c:pt>
                <c:pt idx="1">
                  <c:v>2.5068426243372715</c:v>
                </c:pt>
                <c:pt idx="2">
                  <c:v>1.9349367805048927</c:v>
                </c:pt>
                <c:pt idx="3">
                  <c:v>3.146006891222322</c:v>
                </c:pt>
                <c:pt idx="4">
                  <c:v>6.0612812545856576</c:v>
                </c:pt>
                <c:pt idx="5">
                  <c:v>15.215356871730521</c:v>
                </c:pt>
                <c:pt idx="6">
                  <c:v>14.815846878085694</c:v>
                </c:pt>
                <c:pt idx="7">
                  <c:v>9.1696068198693936</c:v>
                </c:pt>
                <c:pt idx="8">
                  <c:v>7.9781198678620244</c:v>
                </c:pt>
                <c:pt idx="9">
                  <c:v>5.1039422316017014</c:v>
                </c:pt>
                <c:pt idx="10">
                  <c:v>3.2589425953946232</c:v>
                </c:pt>
                <c:pt idx="11">
                  <c:v>2.2448319853852201</c:v>
                </c:pt>
              </c:numCache>
            </c:numRef>
          </c:val>
        </c:ser>
        <c:ser>
          <c:idx val="1"/>
          <c:order val="1"/>
          <c:tx>
            <c:strRef>
              <c:f>'TOTAL GRAPHS'!$A$37</c:f>
              <c:strCache>
                <c:ptCount val="1"/>
                <c:pt idx="0">
                  <c:v>DEMAND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GRAPHS'!$B$35:$M$35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GRAPHS'!$B$37:$M$37</c:f>
              <c:numCache>
                <c:formatCode>"$"#,##0.0</c:formatCode>
                <c:ptCount val="12"/>
                <c:pt idx="0">
                  <c:v>1.597446474529</c:v>
                </c:pt>
                <c:pt idx="1">
                  <c:v>1.5900934955400001</c:v>
                </c:pt>
                <c:pt idx="2">
                  <c:v>1.582543893283</c:v>
                </c:pt>
                <c:pt idx="3">
                  <c:v>1.7833861206359998</c:v>
                </c:pt>
                <c:pt idx="4">
                  <c:v>1.775834419847</c:v>
                </c:pt>
                <c:pt idx="5">
                  <c:v>1.770817935038</c:v>
                </c:pt>
                <c:pt idx="6">
                  <c:v>1.7802713415220002</c:v>
                </c:pt>
                <c:pt idx="7">
                  <c:v>1.7559764374349998</c:v>
                </c:pt>
                <c:pt idx="8">
                  <c:v>1.7709656590199998</c:v>
                </c:pt>
                <c:pt idx="9">
                  <c:v>1.5869352506700001</c:v>
                </c:pt>
                <c:pt idx="10">
                  <c:v>1.716745663312</c:v>
                </c:pt>
                <c:pt idx="11">
                  <c:v>1.7150423722279999</c:v>
                </c:pt>
              </c:numCache>
            </c:numRef>
          </c:val>
        </c:ser>
        <c:overlap val="100"/>
        <c:axId val="141129216"/>
        <c:axId val="141130752"/>
      </c:barChart>
      <c:dateAx>
        <c:axId val="14112921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3075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411307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9.4062281245004056E-3"/>
              <c:y val="0.46293833735224876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2921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855993828683893"/>
          <c:y val="0.95245008742558102"/>
          <c:w val="0.12933576088323084"/>
          <c:h val="3.77623624332880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 Monthly Gas Costs</a:t>
            </a:r>
          </a:p>
        </c:rich>
      </c:tx>
      <c:layout>
        <c:manualLayout>
          <c:xMode val="edge"/>
          <c:yMode val="edge"/>
          <c:x val="0.43761575257638224"/>
          <c:y val="2.663128434912519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4087342126207812E-2"/>
          <c:y val="0.12782989303296921"/>
          <c:w val="0.91948481614553956"/>
          <c:h val="0.80559463838486456"/>
        </c:manualLayout>
      </c:layout>
      <c:barChart>
        <c:barDir val="col"/>
        <c:grouping val="clustered"/>
        <c:ser>
          <c:idx val="0"/>
          <c:order val="0"/>
          <c:tx>
            <c:strRef>
              <c:f>'TOTAL GRAPHS'!$A$67</c:f>
              <c:strCache>
                <c:ptCount val="1"/>
                <c:pt idx="0">
                  <c:v>TOTAL MTH GAS COSTS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GRAPHS'!$B$66:$M$66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'TOTAL GRAPHS'!$B$67:$M$67</c:f>
              <c:numCache>
                <c:formatCode>"$"#,##0.0</c:formatCode>
                <c:ptCount val="12"/>
                <c:pt idx="0">
                  <c:v>3.9747289314992615</c:v>
                </c:pt>
                <c:pt idx="1">
                  <c:v>4.0969361198772711</c:v>
                </c:pt>
                <c:pt idx="2">
                  <c:v>3.517480673787893</c:v>
                </c:pt>
                <c:pt idx="3">
                  <c:v>4.9293930118583216</c:v>
                </c:pt>
                <c:pt idx="4">
                  <c:v>7.837115674432658</c:v>
                </c:pt>
                <c:pt idx="5">
                  <c:v>16.986174806768521</c:v>
                </c:pt>
                <c:pt idx="6">
                  <c:v>16.596118219607693</c:v>
                </c:pt>
                <c:pt idx="7">
                  <c:v>10.925583257304393</c:v>
                </c:pt>
                <c:pt idx="8">
                  <c:v>9.7490855268820251</c:v>
                </c:pt>
                <c:pt idx="9">
                  <c:v>5.6618412090871812</c:v>
                </c:pt>
                <c:pt idx="10">
                  <c:v>4.4429467294363807</c:v>
                </c:pt>
                <c:pt idx="11">
                  <c:v>3.8743952389474297</c:v>
                </c:pt>
              </c:numCache>
            </c:numRef>
          </c:val>
        </c:ser>
        <c:axId val="141155328"/>
        <c:axId val="248607488"/>
      </c:barChart>
      <c:dateAx>
        <c:axId val="14115532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60748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486074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9.8340304864490066E-3"/>
              <c:y val="0.48735140151679934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553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RS Monthly Sales - Actual vs Projections</a:t>
            </a:r>
          </a:p>
        </c:rich>
      </c:tx>
      <c:layout>
        <c:manualLayout>
          <c:xMode val="edge"/>
          <c:yMode val="edge"/>
          <c:x val="0.36064178524770008"/>
          <c:y val="2.28311571813022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398060785251532"/>
          <c:y val="0.12937614359800645"/>
          <c:w val="0.84862124440193065"/>
          <c:h val="0.68645459720824598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GRAPHS'!$A$2</c:f>
              <c:strCache>
                <c:ptCount val="1"/>
                <c:pt idx="0">
                  <c:v>RS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GRAPHS'!$B$1:$M$1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GRAPHS'!$B$2:$M$2</c:f>
              <c:numCache>
                <c:formatCode>#,##0</c:formatCode>
                <c:ptCount val="12"/>
                <c:pt idx="0">
                  <c:v>122706.163535427</c:v>
                </c:pt>
                <c:pt idx="1">
                  <c:v>122706.163535427</c:v>
                </c:pt>
                <c:pt idx="2">
                  <c:v>152921.97592089153</c:v>
                </c:pt>
                <c:pt idx="3">
                  <c:v>407490.12791306869</c:v>
                </c:pt>
                <c:pt idx="4">
                  <c:v>713629.95911775937</c:v>
                </c:pt>
                <c:pt idx="5">
                  <c:v>1069454.6317775422</c:v>
                </c:pt>
                <c:pt idx="6">
                  <c:v>1227667.9453206768</c:v>
                </c:pt>
                <c:pt idx="7">
                  <c:v>1003154.4618991468</c:v>
                </c:pt>
                <c:pt idx="8">
                  <c:v>790999.19994162617</c:v>
                </c:pt>
                <c:pt idx="9">
                  <c:v>326500.7</c:v>
                </c:pt>
                <c:pt idx="10">
                  <c:v>223962.6842030329</c:v>
                </c:pt>
                <c:pt idx="11">
                  <c:v>118747.90019557452</c:v>
                </c:pt>
              </c:numCache>
            </c:numRef>
          </c:val>
        </c:ser>
        <c:ser>
          <c:idx val="1"/>
          <c:order val="1"/>
          <c:tx>
            <c:strRef>
              <c:f>'MCFS GRAPHS'!$A$3</c:f>
              <c:strCache>
                <c:ptCount val="1"/>
                <c:pt idx="0">
                  <c:v>RS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GRAPHS'!$B$1:$M$1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GRAPHS'!$B$3:$M$3</c:f>
              <c:numCache>
                <c:formatCode>#,##0</c:formatCode>
                <c:ptCount val="12"/>
                <c:pt idx="0">
                  <c:v>104191.9</c:v>
                </c:pt>
                <c:pt idx="1">
                  <c:v>107316.7</c:v>
                </c:pt>
                <c:pt idx="2">
                  <c:v>125967</c:v>
                </c:pt>
                <c:pt idx="3">
                  <c:v>269588</c:v>
                </c:pt>
                <c:pt idx="4">
                  <c:v>718486.4</c:v>
                </c:pt>
                <c:pt idx="5">
                  <c:v>1616361.7</c:v>
                </c:pt>
                <c:pt idx="6">
                  <c:v>1566598.5</c:v>
                </c:pt>
                <c:pt idx="7">
                  <c:v>994288.5</c:v>
                </c:pt>
                <c:pt idx="8">
                  <c:v>764534</c:v>
                </c:pt>
                <c:pt idx="9">
                  <c:v>326500.7</c:v>
                </c:pt>
                <c:pt idx="10">
                  <c:v>159254.29999999999</c:v>
                </c:pt>
                <c:pt idx="11">
                  <c:v>123802</c:v>
                </c:pt>
              </c:numCache>
            </c:numRef>
          </c:val>
        </c:ser>
        <c:ser>
          <c:idx val="2"/>
          <c:order val="2"/>
          <c:tx>
            <c:strRef>
              <c:f>'MCFS GRAPHS'!$A$4</c:f>
              <c:strCache>
                <c:ptCount val="1"/>
                <c:pt idx="0">
                  <c:v>RS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GRAPHS'!$B$1:$M$1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GRAPHS'!$B$4:$M$4</c:f>
              <c:numCache>
                <c:formatCode>#,##0</c:formatCode>
                <c:ptCount val="12"/>
                <c:pt idx="0">
                  <c:v>104191.9</c:v>
                </c:pt>
                <c:pt idx="1">
                  <c:v>107316.7</c:v>
                </c:pt>
                <c:pt idx="2">
                  <c:v>125967</c:v>
                </c:pt>
                <c:pt idx="3">
                  <c:v>302647.78755274264</c:v>
                </c:pt>
                <c:pt idx="4">
                  <c:v>660217.6948717949</c:v>
                </c:pt>
                <c:pt idx="5">
                  <c:v>1092164.4486680327</c:v>
                </c:pt>
                <c:pt idx="6">
                  <c:v>1257948.1588800424</c:v>
                </c:pt>
                <c:pt idx="7">
                  <c:v>1057781.0125074538</c:v>
                </c:pt>
                <c:pt idx="8">
                  <c:v>697764.88554666669</c:v>
                </c:pt>
                <c:pt idx="9">
                  <c:v>384283.08500000002</c:v>
                </c:pt>
                <c:pt idx="10">
                  <c:v>159254.29999999999</c:v>
                </c:pt>
                <c:pt idx="11">
                  <c:v>123802</c:v>
                </c:pt>
              </c:numCache>
            </c:numRef>
          </c:val>
        </c:ser>
        <c:axId val="143259904"/>
        <c:axId val="159354880"/>
      </c:barChart>
      <c:dateAx>
        <c:axId val="14325990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35488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593548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2.5823758577263541E-2"/>
              <c:y val="0.44901126283265624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32599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680380871673548"/>
          <c:y val="0.94825110468786344"/>
          <c:w val="0.39893214693455292"/>
          <c:h val="3.95739061098375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GS Monthly Sales - Actual vs Projections</a:t>
            </a:r>
          </a:p>
        </c:rich>
      </c:tx>
      <c:layout>
        <c:manualLayout>
          <c:xMode val="edge"/>
          <c:yMode val="edge"/>
          <c:x val="0.36284020543327938"/>
          <c:y val="2.664802270895181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912528607938172E-2"/>
          <c:y val="0.11921458625526066"/>
          <c:w val="0.86240287851062414"/>
          <c:h val="0.7671809256662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GRAPHS'!$A$31</c:f>
              <c:strCache>
                <c:ptCount val="1"/>
                <c:pt idx="0">
                  <c:v>GS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GRAPHS'!$B$30:$M$30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GRAPHS'!$B$31:$M$31</c:f>
              <c:numCache>
                <c:formatCode>#,##0</c:formatCode>
                <c:ptCount val="12"/>
                <c:pt idx="0">
                  <c:v>67961.698442095978</c:v>
                </c:pt>
                <c:pt idx="1">
                  <c:v>67961.698442095978</c:v>
                </c:pt>
                <c:pt idx="2">
                  <c:v>79597.134704826822</c:v>
                </c:pt>
                <c:pt idx="3">
                  <c:v>183192.94107294339</c:v>
                </c:pt>
                <c:pt idx="4">
                  <c:v>306474.64797356189</c:v>
                </c:pt>
                <c:pt idx="5">
                  <c:v>451041.56283264642</c:v>
                </c:pt>
                <c:pt idx="6">
                  <c:v>515058.91984978388</c:v>
                </c:pt>
                <c:pt idx="7">
                  <c:v>422442.65345983859</c:v>
                </c:pt>
                <c:pt idx="8">
                  <c:v>338371.01448248455</c:v>
                </c:pt>
                <c:pt idx="9">
                  <c:v>195852.65504794841</c:v>
                </c:pt>
                <c:pt idx="10">
                  <c:v>108932.80693306393</c:v>
                </c:pt>
                <c:pt idx="11">
                  <c:v>65769.38558912513</c:v>
                </c:pt>
              </c:numCache>
            </c:numRef>
          </c:val>
        </c:ser>
        <c:ser>
          <c:idx val="1"/>
          <c:order val="1"/>
          <c:tx>
            <c:strRef>
              <c:f>'MCFS GRAPHS'!$A$32</c:f>
              <c:strCache>
                <c:ptCount val="1"/>
                <c:pt idx="0">
                  <c:v>GS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GRAPHS'!$B$30:$M$30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GRAPHS'!$B$32:$M$32</c:f>
              <c:numCache>
                <c:formatCode>#,##0</c:formatCode>
                <c:ptCount val="12"/>
                <c:pt idx="0">
                  <c:v>74535.899999999994</c:v>
                </c:pt>
                <c:pt idx="1">
                  <c:v>82498.3</c:v>
                </c:pt>
                <c:pt idx="2">
                  <c:v>85349</c:v>
                </c:pt>
                <c:pt idx="3">
                  <c:v>131832</c:v>
                </c:pt>
                <c:pt idx="4">
                  <c:v>271978.7</c:v>
                </c:pt>
                <c:pt idx="5">
                  <c:v>618245.9</c:v>
                </c:pt>
                <c:pt idx="6">
                  <c:v>648056.80000000005</c:v>
                </c:pt>
                <c:pt idx="7">
                  <c:v>413881</c:v>
                </c:pt>
                <c:pt idx="8">
                  <c:v>355789.4</c:v>
                </c:pt>
                <c:pt idx="9">
                  <c:v>184651.7</c:v>
                </c:pt>
                <c:pt idx="10">
                  <c:v>108581.9</c:v>
                </c:pt>
                <c:pt idx="11">
                  <c:v>87293.9</c:v>
                </c:pt>
              </c:numCache>
            </c:numRef>
          </c:val>
        </c:ser>
        <c:ser>
          <c:idx val="2"/>
          <c:order val="2"/>
          <c:tx>
            <c:strRef>
              <c:f>'MCFS GRAPHS'!$A$33</c:f>
              <c:strCache>
                <c:ptCount val="1"/>
                <c:pt idx="0">
                  <c:v>GS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GRAPHS'!$B$30:$M$30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GRAPHS'!$B$33:$M$33</c:f>
              <c:numCache>
                <c:formatCode>#,##0</c:formatCode>
                <c:ptCount val="12"/>
                <c:pt idx="0">
                  <c:v>74535.899999999994</c:v>
                </c:pt>
                <c:pt idx="1">
                  <c:v>82498.3</c:v>
                </c:pt>
                <c:pt idx="2">
                  <c:v>85349</c:v>
                </c:pt>
                <c:pt idx="3">
                  <c:v>142572.5075949367</c:v>
                </c:pt>
                <c:pt idx="4">
                  <c:v>253595.5942307692</c:v>
                </c:pt>
                <c:pt idx="5">
                  <c:v>430908.80952868855</c:v>
                </c:pt>
                <c:pt idx="6">
                  <c:v>527649.03261146497</c:v>
                </c:pt>
                <c:pt idx="7">
                  <c:v>437864.42692307691</c:v>
                </c:pt>
                <c:pt idx="8">
                  <c:v>327629.91200000001</c:v>
                </c:pt>
                <c:pt idx="9">
                  <c:v>212693.17100000003</c:v>
                </c:pt>
                <c:pt idx="10">
                  <c:v>108581.9</c:v>
                </c:pt>
                <c:pt idx="11">
                  <c:v>87293.9</c:v>
                </c:pt>
              </c:numCache>
            </c:numRef>
          </c:val>
        </c:ser>
        <c:axId val="159188480"/>
        <c:axId val="159190016"/>
      </c:barChart>
      <c:dateAx>
        <c:axId val="15918848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9001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591900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022836730580787E-2"/>
              <c:y val="0.4754557645359833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884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551327046166888"/>
          <c:y val="0.95231410484169143"/>
          <c:w val="0.43032499137079228"/>
          <c:h val="3.78681704088302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CIS Monthly Sales - Actual vs Projections</a:t>
            </a:r>
          </a:p>
        </c:rich>
      </c:tx>
      <c:layout>
        <c:manualLayout>
          <c:xMode val="edge"/>
          <c:yMode val="edge"/>
          <c:x val="0.35985883331814777"/>
          <c:y val="2.679839983398852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1618098973960903E-2"/>
          <c:y val="0.11847705416149"/>
          <c:w val="0.89301580202099395"/>
          <c:h val="0.72919805954155958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GRAPHS'!$A$61</c:f>
              <c:strCache>
                <c:ptCount val="1"/>
                <c:pt idx="0">
                  <c:v>CIS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GRAPHS'!$B$60:$M$60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GRAPHS'!$B$61:$M$61</c:f>
              <c:numCache>
                <c:formatCode>#,##0</c:formatCode>
                <c:ptCount val="12"/>
                <c:pt idx="0">
                  <c:v>71625.5</c:v>
                </c:pt>
                <c:pt idx="1">
                  <c:v>71625.5</c:v>
                </c:pt>
                <c:pt idx="2">
                  <c:v>74540.714999999997</c:v>
                </c:pt>
                <c:pt idx="3">
                  <c:v>115173.125</c:v>
                </c:pt>
                <c:pt idx="4">
                  <c:v>160281.15</c:v>
                </c:pt>
                <c:pt idx="5">
                  <c:v>216397.15999999997</c:v>
                </c:pt>
                <c:pt idx="6">
                  <c:v>240590.28499999997</c:v>
                </c:pt>
                <c:pt idx="7">
                  <c:v>201143.22500000001</c:v>
                </c:pt>
                <c:pt idx="8">
                  <c:v>173817.26</c:v>
                </c:pt>
                <c:pt idx="9">
                  <c:v>118475.43</c:v>
                </c:pt>
                <c:pt idx="10">
                  <c:v>87109.1</c:v>
                </c:pt>
                <c:pt idx="11">
                  <c:v>69315</c:v>
                </c:pt>
              </c:numCache>
            </c:numRef>
          </c:val>
        </c:ser>
        <c:ser>
          <c:idx val="1"/>
          <c:order val="1"/>
          <c:tx>
            <c:strRef>
              <c:f>'MCFS GRAPHS'!$A$62</c:f>
              <c:strCache>
                <c:ptCount val="1"/>
                <c:pt idx="0">
                  <c:v>CIS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GRAPHS'!$B$60:$M$60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GRAPHS'!$B$62:$M$62</c:f>
              <c:numCache>
                <c:formatCode>#,##0</c:formatCode>
                <c:ptCount val="12"/>
                <c:pt idx="0">
                  <c:v>57280</c:v>
                </c:pt>
                <c:pt idx="1">
                  <c:v>60834.8</c:v>
                </c:pt>
                <c:pt idx="2">
                  <c:v>65658</c:v>
                </c:pt>
                <c:pt idx="3">
                  <c:v>93332</c:v>
                </c:pt>
                <c:pt idx="4">
                  <c:v>162707.4</c:v>
                </c:pt>
                <c:pt idx="5">
                  <c:v>274133.2</c:v>
                </c:pt>
                <c:pt idx="6">
                  <c:v>274682.59999999998</c:v>
                </c:pt>
                <c:pt idx="7">
                  <c:v>191027.3</c:v>
                </c:pt>
                <c:pt idx="8">
                  <c:v>185781.7</c:v>
                </c:pt>
                <c:pt idx="9">
                  <c:v>106651.8</c:v>
                </c:pt>
                <c:pt idx="10">
                  <c:v>85960.9</c:v>
                </c:pt>
                <c:pt idx="11">
                  <c:v>62806.1</c:v>
                </c:pt>
              </c:numCache>
            </c:numRef>
          </c:val>
        </c:ser>
        <c:ser>
          <c:idx val="2"/>
          <c:order val="2"/>
          <c:tx>
            <c:strRef>
              <c:f>'MCFS GRAPHS'!$A$63</c:f>
              <c:strCache>
                <c:ptCount val="1"/>
                <c:pt idx="0">
                  <c:v>CIS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GRAPHS'!$B$60:$M$60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GRAPHS'!$B$63:$M$63</c:f>
              <c:numCache>
                <c:formatCode>#,##0</c:formatCode>
                <c:ptCount val="12"/>
                <c:pt idx="0">
                  <c:v>57280</c:v>
                </c:pt>
                <c:pt idx="1">
                  <c:v>60834.8</c:v>
                </c:pt>
                <c:pt idx="2">
                  <c:v>65658</c:v>
                </c:pt>
                <c:pt idx="3">
                  <c:v>100081.83417721519</c:v>
                </c:pt>
                <c:pt idx="4">
                  <c:v>152952.61153846153</c:v>
                </c:pt>
                <c:pt idx="5">
                  <c:v>199932.0943442623</c:v>
                </c:pt>
                <c:pt idx="6">
                  <c:v>229380.76480891719</c:v>
                </c:pt>
                <c:pt idx="7">
                  <c:v>200371.18269230769</c:v>
                </c:pt>
                <c:pt idx="8">
                  <c:v>173030.43216</c:v>
                </c:pt>
                <c:pt idx="9">
                  <c:v>118908.234</c:v>
                </c:pt>
                <c:pt idx="10">
                  <c:v>85960.9</c:v>
                </c:pt>
                <c:pt idx="11">
                  <c:v>62806.1</c:v>
                </c:pt>
              </c:numCache>
            </c:numRef>
          </c:val>
        </c:ser>
        <c:axId val="159240960"/>
        <c:axId val="159242880"/>
      </c:barChart>
      <c:dateAx>
        <c:axId val="159240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0.50132673308979769"/>
              <c:y val="0.89704061516469358"/>
            </c:manualLayout>
          </c:layout>
          <c:spPr>
            <a:noFill/>
            <a:ln w="25400">
              <a:noFill/>
            </a:ln>
          </c:spPr>
        </c:title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4288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592428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4096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565010295351548"/>
          <c:y val="0.95345822621367848"/>
          <c:w val="0.40406756368277208"/>
          <c:h val="3.667147023898734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MS Monthly Sales - Actual vs Projections</a:t>
            </a:r>
          </a:p>
        </c:rich>
      </c:tx>
      <c:layout>
        <c:manualLayout>
          <c:xMode val="edge"/>
          <c:yMode val="edge"/>
          <c:x val="0.36259877329657858"/>
          <c:y val="2.718177315502760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308165057067597E-2"/>
          <c:y val="0.12160245887325061"/>
          <c:w val="0.87093942054434514"/>
          <c:h val="0.76251894799343367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GRAPHS'!$A$91</c:f>
              <c:strCache>
                <c:ptCount val="1"/>
                <c:pt idx="0">
                  <c:v>MS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GRAPHS'!$B$90:$M$90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GRAPHS'!$B$91:$M$91</c:f>
              <c:numCache>
                <c:formatCode>#,##0</c:formatCode>
                <c:ptCount val="12"/>
                <c:pt idx="0">
                  <c:v>3162</c:v>
                </c:pt>
                <c:pt idx="1">
                  <c:v>3162</c:v>
                </c:pt>
                <c:pt idx="2">
                  <c:v>4602.24</c:v>
                </c:pt>
                <c:pt idx="3">
                  <c:v>16014</c:v>
                </c:pt>
                <c:pt idx="4">
                  <c:v>29906.400000000001</c:v>
                </c:pt>
                <c:pt idx="5">
                  <c:v>45887.76</c:v>
                </c:pt>
                <c:pt idx="6">
                  <c:v>53027.76</c:v>
                </c:pt>
                <c:pt idx="7">
                  <c:v>43125.599999999999</c:v>
                </c:pt>
                <c:pt idx="8">
                  <c:v>33321.360000000001</c:v>
                </c:pt>
                <c:pt idx="9">
                  <c:v>17568.480000000003</c:v>
                </c:pt>
                <c:pt idx="10">
                  <c:v>7731.6</c:v>
                </c:pt>
                <c:pt idx="11">
                  <c:v>3060</c:v>
                </c:pt>
              </c:numCache>
            </c:numRef>
          </c:val>
        </c:ser>
        <c:ser>
          <c:idx val="1"/>
          <c:order val="1"/>
          <c:tx>
            <c:strRef>
              <c:f>'MCFS GRAPHS'!$A$92</c:f>
              <c:strCache>
                <c:ptCount val="1"/>
                <c:pt idx="0">
                  <c:v>MS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GRAPHS'!$B$90:$M$90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GRAPHS'!$B$92:$M$92</c:f>
              <c:numCache>
                <c:formatCode>#,##0</c:formatCode>
                <c:ptCount val="12"/>
                <c:pt idx="0">
                  <c:v>2573</c:v>
                </c:pt>
                <c:pt idx="1">
                  <c:v>4123.7</c:v>
                </c:pt>
                <c:pt idx="2">
                  <c:v>2906</c:v>
                </c:pt>
                <c:pt idx="3">
                  <c:v>10171</c:v>
                </c:pt>
                <c:pt idx="4">
                  <c:v>29356.799999999999</c:v>
                </c:pt>
                <c:pt idx="5">
                  <c:v>62477.4</c:v>
                </c:pt>
                <c:pt idx="6">
                  <c:v>66906.100000000006</c:v>
                </c:pt>
                <c:pt idx="7">
                  <c:v>45267.6</c:v>
                </c:pt>
                <c:pt idx="8">
                  <c:v>32628.7</c:v>
                </c:pt>
                <c:pt idx="9">
                  <c:v>17344</c:v>
                </c:pt>
                <c:pt idx="10">
                  <c:v>6402.7</c:v>
                </c:pt>
                <c:pt idx="11">
                  <c:v>4158.8999999999996</c:v>
                </c:pt>
              </c:numCache>
            </c:numRef>
          </c:val>
        </c:ser>
        <c:ser>
          <c:idx val="2"/>
          <c:order val="2"/>
          <c:tx>
            <c:strRef>
              <c:f>'MCFS GRAPHS'!$A$93</c:f>
              <c:strCache>
                <c:ptCount val="1"/>
                <c:pt idx="0">
                  <c:v>MS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GRAPHS'!$B$90:$M$90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GRAPHS'!$B$93:$M$93</c:f>
              <c:numCache>
                <c:formatCode>#,##0</c:formatCode>
                <c:ptCount val="12"/>
                <c:pt idx="0">
                  <c:v>2573</c:v>
                </c:pt>
                <c:pt idx="1">
                  <c:v>4123.7</c:v>
                </c:pt>
                <c:pt idx="2">
                  <c:v>2906</c:v>
                </c:pt>
                <c:pt idx="3">
                  <c:v>11637.809018987342</c:v>
                </c:pt>
                <c:pt idx="4">
                  <c:v>26841.809615384613</c:v>
                </c:pt>
                <c:pt idx="5">
                  <c:v>41815.652766393439</c:v>
                </c:pt>
                <c:pt idx="6">
                  <c:v>53383.96121019109</c:v>
                </c:pt>
                <c:pt idx="7">
                  <c:v>48296.552906976744</c:v>
                </c:pt>
                <c:pt idx="8">
                  <c:v>29615.293280000002</c:v>
                </c:pt>
                <c:pt idx="9">
                  <c:v>21162.637000000002</c:v>
                </c:pt>
                <c:pt idx="10">
                  <c:v>6402.7</c:v>
                </c:pt>
                <c:pt idx="11">
                  <c:v>4158.8999999999996</c:v>
                </c:pt>
              </c:numCache>
            </c:numRef>
          </c:val>
        </c:ser>
        <c:axId val="159428608"/>
        <c:axId val="159430144"/>
      </c:barChart>
      <c:dateAx>
        <c:axId val="15942860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3014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594301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047448312992707E-2"/>
              <c:y val="0.4792568239519838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2860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0992098136275226"/>
          <c:y val="0.95136034444431439"/>
          <c:w val="0.43371378312459352"/>
          <c:h val="3.862659069547958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Sales - Actual vs Projections</a:t>
            </a:r>
          </a:p>
        </c:rich>
      </c:tx>
      <c:layout>
        <c:manualLayout>
          <c:xMode val="edge"/>
          <c:yMode val="edge"/>
          <c:x val="0.35632218724218501"/>
          <c:y val="2.687417376792711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433253924601719"/>
          <c:y val="0.11881188118811882"/>
          <c:w val="0.86030136174893757"/>
          <c:h val="0.76944837340878314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GRAPHS'!$A$121</c:f>
              <c:strCache>
                <c:ptCount val="1"/>
                <c:pt idx="0">
                  <c:v>PGC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GRAPHS'!$B$121:$M$121</c:f>
              <c:numCache>
                <c:formatCode>#,##0</c:formatCode>
                <c:ptCount val="12"/>
                <c:pt idx="0">
                  <c:v>265455.36197752296</c:v>
                </c:pt>
                <c:pt idx="1">
                  <c:v>265455.36197752296</c:v>
                </c:pt>
                <c:pt idx="2">
                  <c:v>311662.06562571833</c:v>
                </c:pt>
                <c:pt idx="3">
                  <c:v>721870.19398601213</c:v>
                </c:pt>
                <c:pt idx="4">
                  <c:v>1210292.1570913212</c:v>
                </c:pt>
                <c:pt idx="5">
                  <c:v>1782781.1146101886</c:v>
                </c:pt>
                <c:pt idx="6">
                  <c:v>2036344.9101704606</c:v>
                </c:pt>
                <c:pt idx="7">
                  <c:v>1669865.9403589857</c:v>
                </c:pt>
                <c:pt idx="8">
                  <c:v>1336508.8344241108</c:v>
                </c:pt>
                <c:pt idx="9">
                  <c:v>772133.91836317175</c:v>
                </c:pt>
                <c:pt idx="10">
                  <c:v>427736.19113609678</c:v>
                </c:pt>
                <c:pt idx="11">
                  <c:v>256892.28578469966</c:v>
                </c:pt>
              </c:numCache>
            </c:numRef>
          </c:val>
        </c:ser>
        <c:ser>
          <c:idx val="1"/>
          <c:order val="1"/>
          <c:tx>
            <c:strRef>
              <c:f>'MCFS GRAPHS'!$A$122</c:f>
              <c:strCache>
                <c:ptCount val="1"/>
                <c:pt idx="0">
                  <c:v>PGC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GRAPHS'!$B$122:$M$122</c:f>
              <c:numCache>
                <c:formatCode>#,##0</c:formatCode>
                <c:ptCount val="12"/>
                <c:pt idx="0">
                  <c:v>238580.8</c:v>
                </c:pt>
                <c:pt idx="1">
                  <c:v>254773.5</c:v>
                </c:pt>
                <c:pt idx="2">
                  <c:v>279880</c:v>
                </c:pt>
                <c:pt idx="3">
                  <c:v>504923</c:v>
                </c:pt>
                <c:pt idx="4">
                  <c:v>1182529.3</c:v>
                </c:pt>
                <c:pt idx="5">
                  <c:v>2571218.2000000002</c:v>
                </c:pt>
                <c:pt idx="6">
                  <c:v>2556244</c:v>
                </c:pt>
                <c:pt idx="7">
                  <c:v>1644464.4000000001</c:v>
                </c:pt>
                <c:pt idx="8">
                  <c:v>1338733.7999999998</c:v>
                </c:pt>
                <c:pt idx="9">
                  <c:v>635148.20000000007</c:v>
                </c:pt>
                <c:pt idx="10">
                  <c:v>360199.8</c:v>
                </c:pt>
                <c:pt idx="11">
                  <c:v>278060.90000000002</c:v>
                </c:pt>
              </c:numCache>
            </c:numRef>
          </c:val>
        </c:ser>
        <c:ser>
          <c:idx val="2"/>
          <c:order val="2"/>
          <c:tx>
            <c:strRef>
              <c:f>'MCFS GRAPHS'!$A$123</c:f>
              <c:strCache>
                <c:ptCount val="1"/>
                <c:pt idx="0">
                  <c:v>PGC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GRAPHS'!$B$123:$M$123</c:f>
              <c:numCache>
                <c:formatCode>#,##0</c:formatCode>
                <c:ptCount val="12"/>
                <c:pt idx="0">
                  <c:v>238580.8</c:v>
                </c:pt>
                <c:pt idx="1">
                  <c:v>254773.5</c:v>
                </c:pt>
                <c:pt idx="2">
                  <c:v>279880</c:v>
                </c:pt>
                <c:pt idx="3">
                  <c:v>556939.93834388186</c:v>
                </c:pt>
                <c:pt idx="4">
                  <c:v>1093607.7102564101</c:v>
                </c:pt>
                <c:pt idx="5">
                  <c:v>1764821.0053073771</c:v>
                </c:pt>
                <c:pt idx="6">
                  <c:v>2068361.9175106157</c:v>
                </c:pt>
                <c:pt idx="7">
                  <c:v>1744313.1750298152</c:v>
                </c:pt>
                <c:pt idx="8">
                  <c:v>1228040.5229866668</c:v>
                </c:pt>
                <c:pt idx="9">
                  <c:v>737047.12699999998</c:v>
                </c:pt>
                <c:pt idx="10">
                  <c:v>360199.8</c:v>
                </c:pt>
                <c:pt idx="11">
                  <c:v>278060.90000000002</c:v>
                </c:pt>
              </c:numCache>
            </c:numRef>
          </c:val>
        </c:ser>
        <c:axId val="181746688"/>
        <c:axId val="181764864"/>
      </c:barChart>
      <c:dateAx>
        <c:axId val="18174668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6486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17648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146771279591831E-2"/>
              <c:y val="0.47666200315269414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7466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183937381826122"/>
          <c:y val="0.95332385213963466"/>
          <c:w val="0.42528772060215531"/>
          <c:h val="3.677516081414981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FS Monthly Sales - Actual vs Projections</a:t>
            </a:r>
          </a:p>
        </c:rich>
      </c:tx>
      <c:layout>
        <c:manualLayout>
          <c:xMode val="edge"/>
          <c:yMode val="edge"/>
          <c:x val="0.36177810957888235"/>
          <c:y val="2.757623622839001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7111186728460688E-2"/>
          <c:y val="0.12046444121915822"/>
          <c:w val="0.87733409490806868"/>
          <c:h val="0.76487663280116902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GRAPHS'!$A$151</c:f>
              <c:strCache>
                <c:ptCount val="1"/>
                <c:pt idx="0">
                  <c:v>FS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GRAPHS'!$B$150:$M$150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GRAPHS'!$B$151:$M$151</c:f>
              <c:numCache>
                <c:formatCode>#,##0</c:formatCode>
                <c:ptCount val="12"/>
                <c:pt idx="0">
                  <c:v>20400</c:v>
                </c:pt>
                <c:pt idx="1">
                  <c:v>19000</c:v>
                </c:pt>
                <c:pt idx="2">
                  <c:v>19200</c:v>
                </c:pt>
                <c:pt idx="3">
                  <c:v>16600</c:v>
                </c:pt>
                <c:pt idx="4">
                  <c:v>27500</c:v>
                </c:pt>
                <c:pt idx="5">
                  <c:v>36700</c:v>
                </c:pt>
                <c:pt idx="6">
                  <c:v>43100</c:v>
                </c:pt>
                <c:pt idx="7">
                  <c:v>33300</c:v>
                </c:pt>
                <c:pt idx="8">
                  <c:v>26200</c:v>
                </c:pt>
                <c:pt idx="9">
                  <c:v>29200</c:v>
                </c:pt>
                <c:pt idx="10">
                  <c:v>11800</c:v>
                </c:pt>
                <c:pt idx="11">
                  <c:v>11300</c:v>
                </c:pt>
              </c:numCache>
            </c:numRef>
          </c:val>
        </c:ser>
        <c:ser>
          <c:idx val="1"/>
          <c:order val="1"/>
          <c:tx>
            <c:strRef>
              <c:f>'MCFS GRAPHS'!$A$152</c:f>
              <c:strCache>
                <c:ptCount val="1"/>
                <c:pt idx="0">
                  <c:v>FS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GRAPHS'!$B$150:$M$150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GRAPHS'!$B$152:$M$152</c:f>
              <c:numCache>
                <c:formatCode>#,##0</c:formatCode>
                <c:ptCount val="12"/>
                <c:pt idx="0">
                  <c:v>20837</c:v>
                </c:pt>
                <c:pt idx="1">
                  <c:v>25239.3</c:v>
                </c:pt>
                <c:pt idx="2">
                  <c:v>24664</c:v>
                </c:pt>
                <c:pt idx="3">
                  <c:v>18544</c:v>
                </c:pt>
                <c:pt idx="4">
                  <c:v>17268</c:v>
                </c:pt>
                <c:pt idx="5">
                  <c:v>36204.5</c:v>
                </c:pt>
                <c:pt idx="6">
                  <c:v>33109.599999999999</c:v>
                </c:pt>
                <c:pt idx="7">
                  <c:v>25564.6</c:v>
                </c:pt>
                <c:pt idx="8">
                  <c:v>21974.6</c:v>
                </c:pt>
                <c:pt idx="9">
                  <c:v>13260.7</c:v>
                </c:pt>
                <c:pt idx="10">
                  <c:v>15609.8</c:v>
                </c:pt>
                <c:pt idx="11">
                  <c:v>15391.6</c:v>
                </c:pt>
              </c:numCache>
            </c:numRef>
          </c:val>
        </c:ser>
        <c:ser>
          <c:idx val="2"/>
          <c:order val="2"/>
          <c:tx>
            <c:strRef>
              <c:f>'MCFS GRAPHS'!$A$153</c:f>
              <c:strCache>
                <c:ptCount val="1"/>
                <c:pt idx="0">
                  <c:v>FS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GRAPHS'!$B$150:$M$150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GRAPHS'!$B$153:$M$153</c:f>
              <c:numCache>
                <c:formatCode>#,##0</c:formatCode>
                <c:ptCount val="12"/>
                <c:pt idx="0">
                  <c:v>20837</c:v>
                </c:pt>
                <c:pt idx="1">
                  <c:v>25239.3</c:v>
                </c:pt>
                <c:pt idx="2">
                  <c:v>24664</c:v>
                </c:pt>
                <c:pt idx="3">
                  <c:v>17484.187816455695</c:v>
                </c:pt>
                <c:pt idx="4">
                  <c:v>17874.932692307695</c:v>
                </c:pt>
                <c:pt idx="5">
                  <c:v>31804.068770491802</c:v>
                </c:pt>
                <c:pt idx="6">
                  <c:v>31086.857404458598</c:v>
                </c:pt>
                <c:pt idx="7">
                  <c:v>25707.49110017889</c:v>
                </c:pt>
                <c:pt idx="8">
                  <c:v>22139.003199999999</c:v>
                </c:pt>
                <c:pt idx="9">
                  <c:v>10474.462</c:v>
                </c:pt>
                <c:pt idx="10">
                  <c:v>15609.8</c:v>
                </c:pt>
                <c:pt idx="11">
                  <c:v>15391.6</c:v>
                </c:pt>
              </c:numCache>
            </c:numRef>
          </c:val>
        </c:ser>
        <c:axId val="181938432"/>
        <c:axId val="181948416"/>
      </c:barChart>
      <c:dateAx>
        <c:axId val="18193843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4841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19484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22224726381474E-2"/>
              <c:y val="0.474600855888489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384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888913930482344"/>
          <c:y val="0.95210444848240161"/>
          <c:w val="0.39288925199198604"/>
          <c:h val="3.773589387299485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LVS Monthly Sales - Actual vs Projections</a:t>
            </a:r>
          </a:p>
        </c:rich>
      </c:tx>
      <c:layout>
        <c:manualLayout>
          <c:xMode val="edge"/>
          <c:yMode val="edge"/>
          <c:x val="0.35656866632678513"/>
          <c:y val="2.64993865636553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2386122153327584E-2"/>
          <c:y val="0.11715497128194215"/>
          <c:w val="0.8918685173953077"/>
          <c:h val="0.73779737866842576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GRAPHS'!$A$181</c:f>
              <c:strCache>
                <c:ptCount val="1"/>
                <c:pt idx="0">
                  <c:v>LVS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GRAPHS'!$B$181:$M$181</c:f>
              <c:numCache>
                <c:formatCode>#,##0</c:formatCode>
                <c:ptCount val="12"/>
                <c:pt idx="0">
                  <c:v>200000</c:v>
                </c:pt>
                <c:pt idx="1">
                  <c:v>195000</c:v>
                </c:pt>
                <c:pt idx="2">
                  <c:v>177500</c:v>
                </c:pt>
                <c:pt idx="3">
                  <c:v>280000</c:v>
                </c:pt>
                <c:pt idx="4">
                  <c:v>280000</c:v>
                </c:pt>
                <c:pt idx="5">
                  <c:v>335000</c:v>
                </c:pt>
                <c:pt idx="6">
                  <c:v>340000</c:v>
                </c:pt>
                <c:pt idx="7">
                  <c:v>300000</c:v>
                </c:pt>
                <c:pt idx="8">
                  <c:v>275000</c:v>
                </c:pt>
                <c:pt idx="9">
                  <c:v>260000</c:v>
                </c:pt>
                <c:pt idx="10">
                  <c:v>220000</c:v>
                </c:pt>
                <c:pt idx="11">
                  <c:v>194500</c:v>
                </c:pt>
              </c:numCache>
            </c:numRef>
          </c:val>
        </c:ser>
        <c:ser>
          <c:idx val="1"/>
          <c:order val="1"/>
          <c:tx>
            <c:strRef>
              <c:f>'MCFS GRAPHS'!$A$182</c:f>
              <c:strCache>
                <c:ptCount val="1"/>
                <c:pt idx="0">
                  <c:v>LVS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GRAPHS'!$B$182:$M$182</c:f>
              <c:numCache>
                <c:formatCode>#,##0</c:formatCode>
                <c:ptCount val="12"/>
                <c:pt idx="0">
                  <c:v>200499</c:v>
                </c:pt>
                <c:pt idx="1">
                  <c:v>203707</c:v>
                </c:pt>
                <c:pt idx="2">
                  <c:v>223220</c:v>
                </c:pt>
                <c:pt idx="3">
                  <c:v>254221</c:v>
                </c:pt>
                <c:pt idx="4">
                  <c:v>311905.8</c:v>
                </c:pt>
                <c:pt idx="5">
                  <c:v>383332.1</c:v>
                </c:pt>
                <c:pt idx="6">
                  <c:v>411637.4</c:v>
                </c:pt>
                <c:pt idx="7">
                  <c:v>326869.7</c:v>
                </c:pt>
                <c:pt idx="8">
                  <c:v>297116.59999999998</c:v>
                </c:pt>
                <c:pt idx="9">
                  <c:v>315843.3</c:v>
                </c:pt>
                <c:pt idx="10">
                  <c:v>225450.8</c:v>
                </c:pt>
                <c:pt idx="11">
                  <c:v>205799.4</c:v>
                </c:pt>
              </c:numCache>
            </c:numRef>
          </c:val>
        </c:ser>
        <c:ser>
          <c:idx val="2"/>
          <c:order val="2"/>
          <c:tx>
            <c:strRef>
              <c:f>'MCFS GRAPHS'!$A$183</c:f>
              <c:strCache>
                <c:ptCount val="1"/>
                <c:pt idx="0">
                  <c:v>LVS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GRAPHS'!$B$183:$M$183</c:f>
              <c:numCache>
                <c:formatCode>#,##0</c:formatCode>
                <c:ptCount val="12"/>
                <c:pt idx="0">
                  <c:v>200499</c:v>
                </c:pt>
                <c:pt idx="1">
                  <c:v>203707</c:v>
                </c:pt>
                <c:pt idx="2">
                  <c:v>223220</c:v>
                </c:pt>
                <c:pt idx="3">
                  <c:v>263707.56170886074</c:v>
                </c:pt>
                <c:pt idx="4">
                  <c:v>302024.66538461536</c:v>
                </c:pt>
                <c:pt idx="5">
                  <c:v>322615.42784836062</c:v>
                </c:pt>
                <c:pt idx="6">
                  <c:v>368655.4942356688</c:v>
                </c:pt>
                <c:pt idx="7">
                  <c:v>335346.51560822898</c:v>
                </c:pt>
                <c:pt idx="8">
                  <c:v>288108.00095999998</c:v>
                </c:pt>
                <c:pt idx="9">
                  <c:v>344652.65099999995</c:v>
                </c:pt>
                <c:pt idx="10">
                  <c:v>225450.8</c:v>
                </c:pt>
                <c:pt idx="11">
                  <c:v>205799.4</c:v>
                </c:pt>
              </c:numCache>
            </c:numRef>
          </c:val>
        </c:ser>
        <c:axId val="181806592"/>
        <c:axId val="181808512"/>
      </c:barChart>
      <c:dateAx>
        <c:axId val="1818065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0.50134094299363652"/>
              <c:y val="0.90376699294643159"/>
            </c:manualLayout>
          </c:layout>
          <c:spPr>
            <a:noFill/>
            <a:ln w="25400">
              <a:noFill/>
            </a:ln>
          </c:spPr>
        </c:title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0851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18085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065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009856681584497"/>
          <c:y val="0.95397624500989475"/>
          <c:w val="0.41644356955380946"/>
          <c:h val="3.62622544830237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Monthly Sales - Actual vs Projections</a:t>
            </a:r>
          </a:p>
        </c:rich>
      </c:tx>
      <c:layout>
        <c:manualLayout>
          <c:xMode val="edge"/>
          <c:yMode val="edge"/>
          <c:x val="0.33782603123977534"/>
          <c:y val="2.635231027776209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5238178801468093E-2"/>
          <c:y val="0.11650516997109622"/>
          <c:w val="0.8688237632171667"/>
          <c:h val="0.77392720052228736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GRAPHS'!$A$211</c:f>
              <c:strCache>
                <c:ptCount val="1"/>
                <c:pt idx="0">
                  <c:v>NON-PGC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GRAPHS'!$B$211:$M$211</c:f>
              <c:numCache>
                <c:formatCode>#,##0</c:formatCode>
                <c:ptCount val="12"/>
                <c:pt idx="0">
                  <c:v>220400</c:v>
                </c:pt>
                <c:pt idx="1">
                  <c:v>214000</c:v>
                </c:pt>
                <c:pt idx="2">
                  <c:v>196700</c:v>
                </c:pt>
                <c:pt idx="3">
                  <c:v>296600</c:v>
                </c:pt>
                <c:pt idx="4">
                  <c:v>307500</c:v>
                </c:pt>
                <c:pt idx="5">
                  <c:v>371700</c:v>
                </c:pt>
                <c:pt idx="6">
                  <c:v>383100</c:v>
                </c:pt>
                <c:pt idx="7">
                  <c:v>333300</c:v>
                </c:pt>
                <c:pt idx="8">
                  <c:v>301200</c:v>
                </c:pt>
                <c:pt idx="9">
                  <c:v>289200</c:v>
                </c:pt>
                <c:pt idx="10">
                  <c:v>231800</c:v>
                </c:pt>
                <c:pt idx="11">
                  <c:v>205800</c:v>
                </c:pt>
              </c:numCache>
            </c:numRef>
          </c:val>
        </c:ser>
        <c:ser>
          <c:idx val="1"/>
          <c:order val="1"/>
          <c:tx>
            <c:strRef>
              <c:f>'MCFS GRAPHS'!$A$212</c:f>
              <c:strCache>
                <c:ptCount val="1"/>
                <c:pt idx="0">
                  <c:v>NON-PGC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GRAPHS'!$B$212:$M$212</c:f>
              <c:numCache>
                <c:formatCode>#,##0</c:formatCode>
                <c:ptCount val="12"/>
                <c:pt idx="0">
                  <c:v>221336</c:v>
                </c:pt>
                <c:pt idx="1">
                  <c:v>228946.3</c:v>
                </c:pt>
                <c:pt idx="2">
                  <c:v>247884</c:v>
                </c:pt>
                <c:pt idx="3">
                  <c:v>272765</c:v>
                </c:pt>
                <c:pt idx="4">
                  <c:v>329173.8</c:v>
                </c:pt>
                <c:pt idx="5">
                  <c:v>419536.6</c:v>
                </c:pt>
                <c:pt idx="6">
                  <c:v>444747</c:v>
                </c:pt>
                <c:pt idx="7">
                  <c:v>352434.3</c:v>
                </c:pt>
                <c:pt idx="8">
                  <c:v>319091.19999999995</c:v>
                </c:pt>
                <c:pt idx="9">
                  <c:v>329104</c:v>
                </c:pt>
                <c:pt idx="10">
                  <c:v>241060.59999999998</c:v>
                </c:pt>
                <c:pt idx="11">
                  <c:v>221191</c:v>
                </c:pt>
              </c:numCache>
            </c:numRef>
          </c:val>
        </c:ser>
        <c:ser>
          <c:idx val="2"/>
          <c:order val="2"/>
          <c:tx>
            <c:strRef>
              <c:f>'MCFS GRAPHS'!$A$213</c:f>
              <c:strCache>
                <c:ptCount val="1"/>
                <c:pt idx="0">
                  <c:v>NON-PGC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GRAPHS'!$B$213:$M$213</c:f>
              <c:numCache>
                <c:formatCode>#,##0</c:formatCode>
                <c:ptCount val="12"/>
                <c:pt idx="0">
                  <c:v>221336</c:v>
                </c:pt>
                <c:pt idx="1">
                  <c:v>228946.3</c:v>
                </c:pt>
                <c:pt idx="2">
                  <c:v>247884</c:v>
                </c:pt>
                <c:pt idx="3">
                  <c:v>281191.74952531641</c:v>
                </c:pt>
                <c:pt idx="4">
                  <c:v>319899.59807692305</c:v>
                </c:pt>
                <c:pt idx="5">
                  <c:v>354419.49661885243</c:v>
                </c:pt>
                <c:pt idx="6">
                  <c:v>399742.35164012737</c:v>
                </c:pt>
                <c:pt idx="7">
                  <c:v>361054.00670840789</c:v>
                </c:pt>
                <c:pt idx="8">
                  <c:v>310247.00415999995</c:v>
                </c:pt>
                <c:pt idx="9">
                  <c:v>355127.11299999995</c:v>
                </c:pt>
                <c:pt idx="10">
                  <c:v>241060.59999999998</c:v>
                </c:pt>
                <c:pt idx="11">
                  <c:v>221191</c:v>
                </c:pt>
              </c:numCache>
            </c:numRef>
          </c:val>
        </c:ser>
        <c:axId val="181854976"/>
        <c:axId val="181856512"/>
      </c:barChart>
      <c:dateAx>
        <c:axId val="18185497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5651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18565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375608112277104E-2"/>
              <c:y val="0.47711641080836131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85497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6325269467898793"/>
          <c:y val="0.9542328216167224"/>
          <c:w val="0.5318962661312906"/>
          <c:h val="3.60611038728072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59100928"/>
        <c:axId val="159102464"/>
      </c:barChart>
      <c:catAx>
        <c:axId val="1591009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02464"/>
        <c:crosses val="autoZero"/>
        <c:auto val="1"/>
        <c:lblAlgn val="ctr"/>
        <c:lblOffset val="100"/>
        <c:tickLblSkip val="1"/>
        <c:tickMarkSkip val="1"/>
      </c:catAx>
      <c:valAx>
        <c:axId val="1591024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009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RS YTD Sales - Acual vs Projected 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9708672"/>
        <c:axId val="119718656"/>
      </c:barChart>
      <c:catAx>
        <c:axId val="119708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718656"/>
        <c:crosses val="autoZero"/>
        <c:auto val="1"/>
        <c:lblAlgn val="ctr"/>
        <c:lblOffset val="100"/>
        <c:tickLblSkip val="1"/>
        <c:tickMarkSkip val="1"/>
      </c:catAx>
      <c:valAx>
        <c:axId val="1197186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70867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GS YTD Sales - Actual vs Projected 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20461568"/>
        <c:axId val="120492032"/>
      </c:barChart>
      <c:catAx>
        <c:axId val="1204615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492032"/>
        <c:crosses val="autoZero"/>
        <c:auto val="1"/>
        <c:lblAlgn val="ctr"/>
        <c:lblOffset val="100"/>
        <c:tickLblSkip val="1"/>
        <c:tickMarkSkip val="1"/>
      </c:catAx>
      <c:valAx>
        <c:axId val="1204920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46156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CIS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20518144"/>
        <c:axId val="120519680"/>
      </c:barChart>
      <c:catAx>
        <c:axId val="1205181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519680"/>
        <c:crosses val="autoZero"/>
        <c:auto val="1"/>
        <c:lblAlgn val="ctr"/>
        <c:lblOffset val="100"/>
        <c:tickLblSkip val="1"/>
        <c:tickMarkSkip val="1"/>
      </c:catAx>
      <c:valAx>
        <c:axId val="1205196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5181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MS YTD Sales - Actual vs Projected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9919360"/>
        <c:axId val="119920896"/>
      </c:barChart>
      <c:catAx>
        <c:axId val="1199193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920896"/>
        <c:crosses val="autoZero"/>
        <c:auto val="1"/>
        <c:lblAlgn val="ctr"/>
        <c:lblOffset val="100"/>
        <c:tickLblSkip val="1"/>
        <c:tickMarkSkip val="1"/>
      </c:catAx>
      <c:valAx>
        <c:axId val="1199208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91936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FS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20569856"/>
        <c:axId val="120571392"/>
      </c:barChart>
      <c:catAx>
        <c:axId val="120569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571392"/>
        <c:crosses val="autoZero"/>
        <c:auto val="1"/>
        <c:lblAlgn val="ctr"/>
        <c:lblOffset val="100"/>
        <c:tickLblSkip val="1"/>
        <c:tickMarkSkip val="1"/>
      </c:catAx>
      <c:valAx>
        <c:axId val="1205713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5698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LVS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35666688"/>
        <c:axId val="135688960"/>
      </c:barChart>
      <c:catAx>
        <c:axId val="135666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688960"/>
        <c:crosses val="autoZero"/>
        <c:auto val="1"/>
        <c:lblAlgn val="ctr"/>
        <c:lblOffset val="100"/>
        <c:tickLblSkip val="1"/>
        <c:tickMarkSkip val="1"/>
      </c:catAx>
      <c:valAx>
        <c:axId val="1356889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6666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35796992"/>
        <c:axId val="135802880"/>
      </c:barChart>
      <c:catAx>
        <c:axId val="135796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802880"/>
        <c:crosses val="autoZero"/>
        <c:auto val="1"/>
        <c:lblAlgn val="ctr"/>
        <c:lblOffset val="100"/>
        <c:tickLblSkip val="1"/>
        <c:tickMarkSkip val="1"/>
      </c:catAx>
      <c:valAx>
        <c:axId val="1358028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7969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  <c:userShapes r:id="rId1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Total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35730688"/>
        <c:axId val="135732224"/>
      </c:barChart>
      <c:catAx>
        <c:axId val="135730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732224"/>
        <c:crosses val="autoZero"/>
        <c:auto val="1"/>
        <c:lblAlgn val="ctr"/>
        <c:lblOffset val="100"/>
        <c:tickLblSkip val="1"/>
        <c:tickMarkSkip val="1"/>
      </c:catAx>
      <c:valAx>
        <c:axId val="1357322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7306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Total Monthly Sales - Actual vs Projections</a:t>
            </a:r>
          </a:p>
        </c:rich>
      </c:tx>
      <c:layout>
        <c:manualLayout>
          <c:xMode val="edge"/>
          <c:yMode val="edge"/>
          <c:x val="0.35230379384395694"/>
          <c:y val="2.606306690296191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659449331182012"/>
          <c:y val="0.11659823575509549"/>
          <c:w val="0.8572726623128587"/>
          <c:h val="0.7750353317838794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GRAPHS'!$A$241</c:f>
              <c:strCache>
                <c:ptCount val="1"/>
                <c:pt idx="0">
                  <c:v>TOTAL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GRAPHS'!$B$240:$M$240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GRAPHS'!$B$241:$M$241</c:f>
              <c:numCache>
                <c:formatCode>#,##0</c:formatCode>
                <c:ptCount val="12"/>
                <c:pt idx="0">
                  <c:v>485855.36197752296</c:v>
                </c:pt>
                <c:pt idx="1">
                  <c:v>479455.36197752296</c:v>
                </c:pt>
                <c:pt idx="2">
                  <c:v>508362.06562571833</c:v>
                </c:pt>
                <c:pt idx="3">
                  <c:v>1018470.1939860121</c:v>
                </c:pt>
                <c:pt idx="4">
                  <c:v>1517792.1570913212</c:v>
                </c:pt>
                <c:pt idx="5">
                  <c:v>2154481.1146101886</c:v>
                </c:pt>
                <c:pt idx="6">
                  <c:v>2419444.9101704606</c:v>
                </c:pt>
                <c:pt idx="7">
                  <c:v>2003165.9403589857</c:v>
                </c:pt>
                <c:pt idx="8">
                  <c:v>1637708.8344241108</c:v>
                </c:pt>
                <c:pt idx="9">
                  <c:v>1061333.9183631716</c:v>
                </c:pt>
                <c:pt idx="10">
                  <c:v>659536.19113609684</c:v>
                </c:pt>
                <c:pt idx="11">
                  <c:v>462692.28578469966</c:v>
                </c:pt>
              </c:numCache>
            </c:numRef>
          </c:val>
        </c:ser>
        <c:ser>
          <c:idx val="1"/>
          <c:order val="1"/>
          <c:tx>
            <c:strRef>
              <c:f>'MCFS GRAPHS'!$A$242</c:f>
              <c:strCache>
                <c:ptCount val="1"/>
                <c:pt idx="0">
                  <c:v>TOTAL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GRAPHS'!$B$240:$M$240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GRAPHS'!$B$242:$M$242</c:f>
              <c:numCache>
                <c:formatCode>#,##0</c:formatCode>
                <c:ptCount val="12"/>
                <c:pt idx="0">
                  <c:v>459916.79999999999</c:v>
                </c:pt>
                <c:pt idx="1">
                  <c:v>483719.8</c:v>
                </c:pt>
                <c:pt idx="2">
                  <c:v>527764</c:v>
                </c:pt>
                <c:pt idx="3">
                  <c:v>777688</c:v>
                </c:pt>
                <c:pt idx="4">
                  <c:v>1511703.1</c:v>
                </c:pt>
                <c:pt idx="5">
                  <c:v>2990754.8000000003</c:v>
                </c:pt>
                <c:pt idx="6">
                  <c:v>3000991</c:v>
                </c:pt>
                <c:pt idx="7">
                  <c:v>1996898.7000000002</c:v>
                </c:pt>
                <c:pt idx="8">
                  <c:v>1657824.9999999998</c:v>
                </c:pt>
                <c:pt idx="9">
                  <c:v>964252.20000000007</c:v>
                </c:pt>
                <c:pt idx="10">
                  <c:v>601260.39999999991</c:v>
                </c:pt>
                <c:pt idx="11">
                  <c:v>499251.9</c:v>
                </c:pt>
              </c:numCache>
            </c:numRef>
          </c:val>
        </c:ser>
        <c:ser>
          <c:idx val="2"/>
          <c:order val="2"/>
          <c:tx>
            <c:strRef>
              <c:f>'MCFS GRAPHS'!$A$243</c:f>
              <c:strCache>
                <c:ptCount val="1"/>
                <c:pt idx="0">
                  <c:v>TOTAL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GRAPHS'!$B$240:$M$240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GRAPHS'!$B$243:$M$243</c:f>
              <c:numCache>
                <c:formatCode>#,##0</c:formatCode>
                <c:ptCount val="12"/>
                <c:pt idx="0">
                  <c:v>459916.79999999999</c:v>
                </c:pt>
                <c:pt idx="1">
                  <c:v>483719.8</c:v>
                </c:pt>
                <c:pt idx="2">
                  <c:v>527764</c:v>
                </c:pt>
                <c:pt idx="3">
                  <c:v>838131.68786919827</c:v>
                </c:pt>
                <c:pt idx="4">
                  <c:v>1413507.3083333331</c:v>
                </c:pt>
                <c:pt idx="5">
                  <c:v>2119240.5019262293</c:v>
                </c:pt>
                <c:pt idx="6">
                  <c:v>2468104.2691507433</c:v>
                </c:pt>
                <c:pt idx="7">
                  <c:v>2105367.1817382229</c:v>
                </c:pt>
                <c:pt idx="8">
                  <c:v>1538287.5271466668</c:v>
                </c:pt>
                <c:pt idx="9">
                  <c:v>1092174.24</c:v>
                </c:pt>
                <c:pt idx="10">
                  <c:v>601260.39999999991</c:v>
                </c:pt>
                <c:pt idx="11">
                  <c:v>499251.9</c:v>
                </c:pt>
              </c:numCache>
            </c:numRef>
          </c:val>
        </c:ser>
        <c:axId val="135766784"/>
        <c:axId val="135768320"/>
      </c:barChart>
      <c:dateAx>
        <c:axId val="13576678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76832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357683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453447864471478E-2"/>
              <c:y val="0.47736695306249677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7667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719990455738476"/>
          <c:y val="0.95473375657103265"/>
          <c:w val="0.47515848246241948"/>
          <c:h val="3.566532815876645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038912"/>
        <c:axId val="182040448"/>
      </c:barChart>
      <c:catAx>
        <c:axId val="182038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40448"/>
        <c:crosses val="autoZero"/>
        <c:auto val="1"/>
        <c:lblAlgn val="ctr"/>
        <c:lblOffset val="100"/>
        <c:tickLblSkip val="1"/>
        <c:tickMarkSkip val="1"/>
      </c:catAx>
      <c:valAx>
        <c:axId val="1820404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389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  <c:userShapes r:id="rId1"/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RS Actual vs Projected Cumulative Sales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140288"/>
        <c:axId val="182146176"/>
      </c:barChart>
      <c:catAx>
        <c:axId val="1821402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146176"/>
        <c:crosses val="autoZero"/>
        <c:auto val="1"/>
        <c:lblAlgn val="ctr"/>
        <c:lblOffset val="100"/>
        <c:tickLblSkip val="1"/>
        <c:tickMarkSkip val="1"/>
      </c:catAx>
      <c:valAx>
        <c:axId val="1821461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1402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GS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184576"/>
        <c:axId val="182206848"/>
      </c:barChart>
      <c:catAx>
        <c:axId val="1821845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206848"/>
        <c:crosses val="autoZero"/>
        <c:auto val="1"/>
        <c:lblAlgn val="ctr"/>
        <c:lblOffset val="100"/>
        <c:tickLblSkip val="1"/>
        <c:tickMarkSkip val="1"/>
      </c:catAx>
      <c:valAx>
        <c:axId val="1822068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18457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CIS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245248"/>
        <c:axId val="182246784"/>
      </c:barChart>
      <c:catAx>
        <c:axId val="182245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246784"/>
        <c:crosses val="autoZero"/>
        <c:auto val="1"/>
        <c:lblAlgn val="ctr"/>
        <c:lblOffset val="100"/>
        <c:tickLblSkip val="1"/>
        <c:tickMarkSkip val="1"/>
      </c:catAx>
      <c:valAx>
        <c:axId val="1822467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24524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CIS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097024"/>
        <c:axId val="182098560"/>
      </c:barChart>
      <c:catAx>
        <c:axId val="182097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98560"/>
        <c:crosses val="autoZero"/>
        <c:auto val="1"/>
        <c:lblAlgn val="ctr"/>
        <c:lblOffset val="100"/>
        <c:tickLblSkip val="1"/>
        <c:tickMarkSkip val="1"/>
      </c:catAx>
      <c:valAx>
        <c:axId val="1820985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970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333824"/>
        <c:axId val="182335360"/>
      </c:barChart>
      <c:catAx>
        <c:axId val="182333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335360"/>
        <c:crosses val="autoZero"/>
        <c:auto val="1"/>
        <c:lblAlgn val="ctr"/>
        <c:lblOffset val="100"/>
        <c:tickLblSkip val="1"/>
        <c:tickMarkSkip val="1"/>
      </c:catAx>
      <c:valAx>
        <c:axId val="1823353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3338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LVS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373760"/>
        <c:axId val="182400128"/>
      </c:barChart>
      <c:catAx>
        <c:axId val="182373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400128"/>
        <c:crosses val="autoZero"/>
        <c:auto val="1"/>
        <c:lblAlgn val="ctr"/>
        <c:lblOffset val="100"/>
        <c:tickLblSkip val="1"/>
        <c:tickMarkSkip val="1"/>
      </c:catAx>
      <c:valAx>
        <c:axId val="1824001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37376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438528"/>
        <c:axId val="182444416"/>
      </c:barChart>
      <c:catAx>
        <c:axId val="182438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444416"/>
        <c:crosses val="autoZero"/>
        <c:auto val="1"/>
        <c:lblAlgn val="ctr"/>
        <c:lblOffset val="100"/>
        <c:tickLblSkip val="1"/>
        <c:tickMarkSkip val="1"/>
      </c:catAx>
      <c:valAx>
        <c:axId val="1824444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4385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  <c:userShapes r:id="rId1"/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Total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82306688"/>
        <c:axId val="182308224"/>
      </c:barChart>
      <c:catAx>
        <c:axId val="182306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308224"/>
        <c:crosses val="autoZero"/>
        <c:auto val="1"/>
        <c:lblAlgn val="ctr"/>
        <c:lblOffset val="100"/>
        <c:tickLblSkip val="1"/>
        <c:tickMarkSkip val="1"/>
      </c:catAx>
      <c:valAx>
        <c:axId val="1823082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3066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Sales Projections by Rate</a:t>
            </a:r>
          </a:p>
        </c:rich>
      </c:tx>
      <c:layout>
        <c:manualLayout>
          <c:xMode val="edge"/>
          <c:yMode val="edge"/>
          <c:x val="0.3776549678502153"/>
          <c:y val="2.772977702111608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723081612023923E-2"/>
          <c:y val="0.13518243332441959"/>
          <c:w val="0.86611343103776317"/>
          <c:h val="0.73830405892567663"/>
        </c:manualLayout>
      </c:layout>
      <c:barChart>
        <c:barDir val="col"/>
        <c:grouping val="stacked"/>
        <c:ser>
          <c:idx val="0"/>
          <c:order val="0"/>
          <c:tx>
            <c:strRef>
              <c:f>'MCFS GRAPHS'!$A$276</c:f>
              <c:strCache>
                <c:ptCount val="1"/>
                <c:pt idx="0">
                  <c:v>RS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GRAPHS'!$B$276:$M$276</c:f>
              <c:numCache>
                <c:formatCode>#,##0</c:formatCode>
                <c:ptCount val="12"/>
                <c:pt idx="0">
                  <c:v>122706.163535427</c:v>
                </c:pt>
                <c:pt idx="1">
                  <c:v>122706.163535427</c:v>
                </c:pt>
                <c:pt idx="2">
                  <c:v>152921.97592089153</c:v>
                </c:pt>
                <c:pt idx="3">
                  <c:v>407490.12791306869</c:v>
                </c:pt>
                <c:pt idx="4">
                  <c:v>713629.95911775937</c:v>
                </c:pt>
                <c:pt idx="5">
                  <c:v>1069454.6317775422</c:v>
                </c:pt>
                <c:pt idx="6">
                  <c:v>1227667.9453206768</c:v>
                </c:pt>
                <c:pt idx="7">
                  <c:v>1003154.4618991468</c:v>
                </c:pt>
                <c:pt idx="8">
                  <c:v>790999.19994162617</c:v>
                </c:pt>
                <c:pt idx="9">
                  <c:v>326500.7</c:v>
                </c:pt>
                <c:pt idx="10">
                  <c:v>223962.6842030329</c:v>
                </c:pt>
                <c:pt idx="11">
                  <c:v>118747.90019557452</c:v>
                </c:pt>
              </c:numCache>
            </c:numRef>
          </c:val>
        </c:ser>
        <c:ser>
          <c:idx val="1"/>
          <c:order val="1"/>
          <c:tx>
            <c:strRef>
              <c:f>'MCFS GRAPHS'!$A$277</c:f>
              <c:strCache>
                <c:ptCount val="1"/>
                <c:pt idx="0">
                  <c:v>GS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GRAPHS'!$B$277:$M$277</c:f>
              <c:numCache>
                <c:formatCode>#,##0</c:formatCode>
                <c:ptCount val="12"/>
                <c:pt idx="0">
                  <c:v>67961.698442095978</c:v>
                </c:pt>
                <c:pt idx="1">
                  <c:v>67961.698442095978</c:v>
                </c:pt>
                <c:pt idx="2">
                  <c:v>79597.134704826822</c:v>
                </c:pt>
                <c:pt idx="3">
                  <c:v>183192.94107294339</c:v>
                </c:pt>
                <c:pt idx="4">
                  <c:v>306474.64797356189</c:v>
                </c:pt>
                <c:pt idx="5">
                  <c:v>451041.56283264642</c:v>
                </c:pt>
                <c:pt idx="6">
                  <c:v>515058.91984978388</c:v>
                </c:pt>
                <c:pt idx="7">
                  <c:v>422442.65345983859</c:v>
                </c:pt>
                <c:pt idx="8">
                  <c:v>338371.01448248455</c:v>
                </c:pt>
                <c:pt idx="9">
                  <c:v>195852.65504794841</c:v>
                </c:pt>
                <c:pt idx="10">
                  <c:v>108932.80693306393</c:v>
                </c:pt>
                <c:pt idx="11">
                  <c:v>65769.38558912513</c:v>
                </c:pt>
              </c:numCache>
            </c:numRef>
          </c:val>
        </c:ser>
        <c:ser>
          <c:idx val="2"/>
          <c:order val="2"/>
          <c:tx>
            <c:strRef>
              <c:f>'MCFS GRAPHS'!$A$278</c:f>
              <c:strCache>
                <c:ptCount val="1"/>
                <c:pt idx="0">
                  <c:v>CIS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GRAPHS'!$B$278:$M$278</c:f>
              <c:numCache>
                <c:formatCode>#,##0</c:formatCode>
                <c:ptCount val="12"/>
                <c:pt idx="0">
                  <c:v>71625.5</c:v>
                </c:pt>
                <c:pt idx="1">
                  <c:v>71625.5</c:v>
                </c:pt>
                <c:pt idx="2">
                  <c:v>74540.714999999997</c:v>
                </c:pt>
                <c:pt idx="3">
                  <c:v>115173.125</c:v>
                </c:pt>
                <c:pt idx="4">
                  <c:v>160281.15</c:v>
                </c:pt>
                <c:pt idx="5">
                  <c:v>216397.15999999997</c:v>
                </c:pt>
                <c:pt idx="6">
                  <c:v>240590.28499999997</c:v>
                </c:pt>
                <c:pt idx="7">
                  <c:v>201143.22500000001</c:v>
                </c:pt>
                <c:pt idx="8">
                  <c:v>173817.26</c:v>
                </c:pt>
                <c:pt idx="9">
                  <c:v>118475.43</c:v>
                </c:pt>
                <c:pt idx="10">
                  <c:v>87109.1</c:v>
                </c:pt>
                <c:pt idx="11">
                  <c:v>69315</c:v>
                </c:pt>
              </c:numCache>
            </c:numRef>
          </c:val>
        </c:ser>
        <c:ser>
          <c:idx val="3"/>
          <c:order val="3"/>
          <c:tx>
            <c:strRef>
              <c:f>'MCFS GRAPHS'!$A$279</c:f>
              <c:strCache>
                <c:ptCount val="1"/>
                <c:pt idx="0">
                  <c:v>MS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GRAPHS'!$B$279:$M$279</c:f>
              <c:numCache>
                <c:formatCode>#,##0</c:formatCode>
                <c:ptCount val="12"/>
                <c:pt idx="0">
                  <c:v>3162</c:v>
                </c:pt>
                <c:pt idx="1">
                  <c:v>3162</c:v>
                </c:pt>
                <c:pt idx="2">
                  <c:v>4602.24</c:v>
                </c:pt>
                <c:pt idx="3">
                  <c:v>16014</c:v>
                </c:pt>
                <c:pt idx="4">
                  <c:v>29906.400000000001</c:v>
                </c:pt>
                <c:pt idx="5">
                  <c:v>45887.76</c:v>
                </c:pt>
                <c:pt idx="6">
                  <c:v>53027.76</c:v>
                </c:pt>
                <c:pt idx="7">
                  <c:v>43125.599999999999</c:v>
                </c:pt>
                <c:pt idx="8">
                  <c:v>33321.360000000001</c:v>
                </c:pt>
                <c:pt idx="9">
                  <c:v>17568.480000000003</c:v>
                </c:pt>
                <c:pt idx="10">
                  <c:v>7731.6</c:v>
                </c:pt>
                <c:pt idx="11">
                  <c:v>3060</c:v>
                </c:pt>
              </c:numCache>
            </c:numRef>
          </c:val>
        </c:ser>
        <c:ser>
          <c:idx val="4"/>
          <c:order val="4"/>
          <c:tx>
            <c:strRef>
              <c:f>'MCFS GRAPHS'!$A$280</c:f>
              <c:strCache>
                <c:ptCount val="1"/>
                <c:pt idx="0">
                  <c:v>FS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GRAPHS'!$B$280:$M$280</c:f>
              <c:numCache>
                <c:formatCode>#,##0</c:formatCode>
                <c:ptCount val="12"/>
                <c:pt idx="0">
                  <c:v>20400</c:v>
                </c:pt>
                <c:pt idx="1">
                  <c:v>19000</c:v>
                </c:pt>
                <c:pt idx="2">
                  <c:v>19200</c:v>
                </c:pt>
                <c:pt idx="3">
                  <c:v>16600</c:v>
                </c:pt>
                <c:pt idx="4">
                  <c:v>27500</c:v>
                </c:pt>
                <c:pt idx="5">
                  <c:v>36700</c:v>
                </c:pt>
                <c:pt idx="6">
                  <c:v>43100</c:v>
                </c:pt>
                <c:pt idx="7">
                  <c:v>33300</c:v>
                </c:pt>
                <c:pt idx="8">
                  <c:v>26200</c:v>
                </c:pt>
                <c:pt idx="9">
                  <c:v>29200</c:v>
                </c:pt>
                <c:pt idx="10">
                  <c:v>11800</c:v>
                </c:pt>
                <c:pt idx="11">
                  <c:v>11300</c:v>
                </c:pt>
              </c:numCache>
            </c:numRef>
          </c:val>
        </c:ser>
        <c:ser>
          <c:idx val="5"/>
          <c:order val="5"/>
          <c:tx>
            <c:strRef>
              <c:f>'MCFS GRAPHS'!$A$281</c:f>
              <c:strCache>
                <c:ptCount val="1"/>
                <c:pt idx="0">
                  <c:v>LVS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GRAPHS'!$B$281:$M$281</c:f>
              <c:numCache>
                <c:formatCode>#,##0</c:formatCode>
                <c:ptCount val="12"/>
                <c:pt idx="0">
                  <c:v>200000</c:v>
                </c:pt>
                <c:pt idx="1">
                  <c:v>195000</c:v>
                </c:pt>
                <c:pt idx="2">
                  <c:v>177500</c:v>
                </c:pt>
                <c:pt idx="3">
                  <c:v>280000</c:v>
                </c:pt>
                <c:pt idx="4">
                  <c:v>280000</c:v>
                </c:pt>
                <c:pt idx="5">
                  <c:v>335000</c:v>
                </c:pt>
                <c:pt idx="6">
                  <c:v>340000</c:v>
                </c:pt>
                <c:pt idx="7">
                  <c:v>300000</c:v>
                </c:pt>
                <c:pt idx="8">
                  <c:v>275000</c:v>
                </c:pt>
                <c:pt idx="9">
                  <c:v>260000</c:v>
                </c:pt>
                <c:pt idx="10">
                  <c:v>220000</c:v>
                </c:pt>
                <c:pt idx="11">
                  <c:v>194500</c:v>
                </c:pt>
              </c:numCache>
            </c:numRef>
          </c:val>
        </c:ser>
        <c:overlap val="100"/>
        <c:axId val="182484352"/>
        <c:axId val="182510720"/>
      </c:barChart>
      <c:dateAx>
        <c:axId val="18248435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1072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25107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77378060084497E-2"/>
              <c:y val="0.47660466765979137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4843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751651396735957"/>
          <c:y val="0.94627698564705742"/>
          <c:w val="0.20960317692630426"/>
          <c:h val="4.159466553167347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Sales Projections - PGC and Non-PGC</a:t>
            </a:r>
          </a:p>
        </c:rich>
      </c:tx>
      <c:layout>
        <c:manualLayout>
          <c:xMode val="edge"/>
          <c:yMode val="edge"/>
          <c:x val="0.34569044541074156"/>
          <c:y val="2.86227070778164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009267840593303"/>
          <c:y val="0.1359575412201659"/>
          <c:w val="0.86561631139944395"/>
          <c:h val="0.73345515658248284"/>
        </c:manualLayout>
      </c:layout>
      <c:barChart>
        <c:barDir val="col"/>
        <c:grouping val="stacked"/>
        <c:ser>
          <c:idx val="0"/>
          <c:order val="0"/>
          <c:tx>
            <c:strRef>
              <c:f>'MCFS GRAPHS'!$A$283</c:f>
              <c:strCache>
                <c:ptCount val="1"/>
                <c:pt idx="0">
                  <c:v>PGC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GRAPHS'!$B$283:$M$283</c:f>
              <c:numCache>
                <c:formatCode>#,##0</c:formatCode>
                <c:ptCount val="12"/>
                <c:pt idx="0">
                  <c:v>265455.36197752296</c:v>
                </c:pt>
                <c:pt idx="1">
                  <c:v>265455.36197752296</c:v>
                </c:pt>
                <c:pt idx="2">
                  <c:v>311662.06562571833</c:v>
                </c:pt>
                <c:pt idx="3">
                  <c:v>721870.19398601213</c:v>
                </c:pt>
                <c:pt idx="4">
                  <c:v>1210292.1570913212</c:v>
                </c:pt>
                <c:pt idx="5">
                  <c:v>1782781.1146101886</c:v>
                </c:pt>
                <c:pt idx="6">
                  <c:v>2036344.9101704606</c:v>
                </c:pt>
                <c:pt idx="7">
                  <c:v>1669865.9403589857</c:v>
                </c:pt>
                <c:pt idx="8">
                  <c:v>1336508.8344241108</c:v>
                </c:pt>
                <c:pt idx="9">
                  <c:v>658397.26504794834</c:v>
                </c:pt>
                <c:pt idx="10">
                  <c:v>427736.19113609684</c:v>
                </c:pt>
                <c:pt idx="11">
                  <c:v>256892.28578469966</c:v>
                </c:pt>
              </c:numCache>
            </c:numRef>
          </c:val>
        </c:ser>
        <c:ser>
          <c:idx val="1"/>
          <c:order val="1"/>
          <c:tx>
            <c:strRef>
              <c:f>'MCFS GRAPHS'!$A$284</c:f>
              <c:strCache>
                <c:ptCount val="1"/>
                <c:pt idx="0">
                  <c:v>NON-PGC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GRAPHS'!$B$284:$M$284</c:f>
              <c:numCache>
                <c:formatCode>#,##0</c:formatCode>
                <c:ptCount val="12"/>
                <c:pt idx="0">
                  <c:v>220400</c:v>
                </c:pt>
                <c:pt idx="1">
                  <c:v>214000</c:v>
                </c:pt>
                <c:pt idx="2">
                  <c:v>196700</c:v>
                </c:pt>
                <c:pt idx="3">
                  <c:v>296600</c:v>
                </c:pt>
                <c:pt idx="4">
                  <c:v>307500</c:v>
                </c:pt>
                <c:pt idx="5">
                  <c:v>371700</c:v>
                </c:pt>
                <c:pt idx="6">
                  <c:v>383100</c:v>
                </c:pt>
                <c:pt idx="7">
                  <c:v>333300</c:v>
                </c:pt>
                <c:pt idx="8">
                  <c:v>301200</c:v>
                </c:pt>
                <c:pt idx="9">
                  <c:v>289200</c:v>
                </c:pt>
                <c:pt idx="10">
                  <c:v>231800</c:v>
                </c:pt>
                <c:pt idx="11">
                  <c:v>205800</c:v>
                </c:pt>
              </c:numCache>
            </c:numRef>
          </c:val>
        </c:ser>
        <c:overlap val="100"/>
        <c:axId val="182531584"/>
        <c:axId val="182533120"/>
      </c:barChart>
      <c:dateAx>
        <c:axId val="18253158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3312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25331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828514905786037E-2"/>
              <c:y val="0.4740624740343242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315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7358669252164853"/>
          <c:y val="0.9445471829987736"/>
          <c:w val="0.11770155129862522"/>
          <c:h val="4.293396286358071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Sales % - PGC and Non-PGC</a:t>
            </a:r>
          </a:p>
        </c:rich>
      </c:tx>
      <c:layout>
        <c:manualLayout>
          <c:xMode val="edge"/>
          <c:yMode val="edge"/>
          <c:x val="0.36457356509682126"/>
          <c:y val="2.763397842774223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6232427366447992E-2"/>
          <c:y val="0.13471525312239505"/>
          <c:w val="0.90909090909090906"/>
          <c:h val="0.73920677354338415"/>
        </c:manualLayout>
      </c:layout>
      <c:barChart>
        <c:barDir val="col"/>
        <c:grouping val="stacked"/>
        <c:ser>
          <c:idx val="0"/>
          <c:order val="0"/>
          <c:tx>
            <c:strRef>
              <c:f>'MCFS GRAPHS'!$A$285</c:f>
              <c:strCache>
                <c:ptCount val="1"/>
                <c:pt idx="0">
                  <c:v>PGC%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GRAPHS'!$B$285:$M$285</c:f>
              <c:numCache>
                <c:formatCode>0%</c:formatCode>
                <c:ptCount val="12"/>
                <c:pt idx="0">
                  <c:v>0.54636705231999405</c:v>
                </c:pt>
                <c:pt idx="1">
                  <c:v>0.55366022163699902</c:v>
                </c:pt>
                <c:pt idx="2">
                  <c:v>0.61307105053581945</c:v>
                </c:pt>
                <c:pt idx="3">
                  <c:v>0.70877891002466242</c:v>
                </c:pt>
                <c:pt idx="4">
                  <c:v>0.7974030906910935</c:v>
                </c:pt>
                <c:pt idx="5">
                  <c:v>0.82747586067040002</c:v>
                </c:pt>
                <c:pt idx="6">
                  <c:v>0.84165789500327626</c:v>
                </c:pt>
                <c:pt idx="7">
                  <c:v>0.83361338504973304</c:v>
                </c:pt>
                <c:pt idx="8">
                  <c:v>0.81608452389773245</c:v>
                </c:pt>
                <c:pt idx="9">
                  <c:v>0.69480705499359319</c:v>
                </c:pt>
                <c:pt idx="10">
                  <c:v>0.64854089416881211</c:v>
                </c:pt>
                <c:pt idx="11">
                  <c:v>0.55521194901493776</c:v>
                </c:pt>
              </c:numCache>
            </c:numRef>
          </c:val>
        </c:ser>
        <c:ser>
          <c:idx val="1"/>
          <c:order val="1"/>
          <c:tx>
            <c:strRef>
              <c:f>'MCFS GRAPHS'!$A$286</c:f>
              <c:strCache>
                <c:ptCount val="1"/>
                <c:pt idx="0">
                  <c:v>NON-PGC%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GRAPHS'!$B$286:$M$286</c:f>
              <c:numCache>
                <c:formatCode>0%</c:formatCode>
                <c:ptCount val="12"/>
                <c:pt idx="0">
                  <c:v>0.45363294768000589</c:v>
                </c:pt>
                <c:pt idx="1">
                  <c:v>0.44633977836300098</c:v>
                </c:pt>
                <c:pt idx="2">
                  <c:v>0.38692894946418055</c:v>
                </c:pt>
                <c:pt idx="3">
                  <c:v>0.29122108997533763</c:v>
                </c:pt>
                <c:pt idx="4">
                  <c:v>0.20259690930890653</c:v>
                </c:pt>
                <c:pt idx="5">
                  <c:v>0.17252413932959995</c:v>
                </c:pt>
                <c:pt idx="6">
                  <c:v>0.15834210499672377</c:v>
                </c:pt>
                <c:pt idx="7">
                  <c:v>0.16638661495026696</c:v>
                </c:pt>
                <c:pt idx="8">
                  <c:v>0.18391547610226755</c:v>
                </c:pt>
                <c:pt idx="9">
                  <c:v>0.30519294500640681</c:v>
                </c:pt>
                <c:pt idx="10">
                  <c:v>0.35145910583118783</c:v>
                </c:pt>
                <c:pt idx="11">
                  <c:v>0.4447880509850623</c:v>
                </c:pt>
              </c:numCache>
            </c:numRef>
          </c:val>
        </c:ser>
        <c:overlap val="100"/>
        <c:axId val="182575104"/>
        <c:axId val="182576640"/>
      </c:barChart>
      <c:dateAx>
        <c:axId val="18257510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7664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2576640"/>
        <c:scaling>
          <c:orientation val="minMax"/>
          <c:max val="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751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3955014113801832"/>
          <c:y val="0.9464610280986"/>
          <c:w val="0.14151824889813586"/>
          <c:h val="4.145077915529873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Projected Average Day Sales by Rate</a:t>
            </a:r>
          </a:p>
        </c:rich>
      </c:tx>
      <c:layout>
        <c:manualLayout>
          <c:xMode val="edge"/>
          <c:yMode val="edge"/>
          <c:x val="0.35312179180486769"/>
          <c:y val="2.876492810982107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2118730808596519E-2"/>
          <c:y val="0.1319799135137637"/>
          <c:w val="0.87001023541454225"/>
          <c:h val="0.744502076231494"/>
        </c:manualLayout>
      </c:layout>
      <c:barChart>
        <c:barDir val="col"/>
        <c:grouping val="stacked"/>
        <c:ser>
          <c:idx val="0"/>
          <c:order val="0"/>
          <c:tx>
            <c:strRef>
              <c:f>'MCFS GRAPHS'!$A$355</c:f>
              <c:strCache>
                <c:ptCount val="1"/>
                <c:pt idx="0">
                  <c:v>RS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GRAPHS'!$B$355:$M$355</c:f>
              <c:numCache>
                <c:formatCode>#,##0</c:formatCode>
                <c:ptCount val="12"/>
                <c:pt idx="0">
                  <c:v>3958.2633398524836</c:v>
                </c:pt>
                <c:pt idx="1">
                  <c:v>3958.2633398524836</c:v>
                </c:pt>
                <c:pt idx="2">
                  <c:v>5097.3991973630509</c:v>
                </c:pt>
                <c:pt idx="3">
                  <c:v>13144.842835905441</c:v>
                </c:pt>
                <c:pt idx="4">
                  <c:v>23787.665303925311</c:v>
                </c:pt>
                <c:pt idx="5">
                  <c:v>34498.536508952973</c:v>
                </c:pt>
                <c:pt idx="6">
                  <c:v>39602.191784537958</c:v>
                </c:pt>
                <c:pt idx="7">
                  <c:v>34591.533168936097</c:v>
                </c:pt>
                <c:pt idx="8">
                  <c:v>25516.103223923426</c:v>
                </c:pt>
                <c:pt idx="9">
                  <c:v>10883.356666666667</c:v>
                </c:pt>
                <c:pt idx="10">
                  <c:v>7224.6027162268674</c:v>
                </c:pt>
                <c:pt idx="11">
                  <c:v>3958.263339852484</c:v>
                </c:pt>
              </c:numCache>
            </c:numRef>
          </c:val>
        </c:ser>
        <c:ser>
          <c:idx val="1"/>
          <c:order val="1"/>
          <c:tx>
            <c:strRef>
              <c:f>'MCFS GRAPHS'!$A$356</c:f>
              <c:strCache>
                <c:ptCount val="1"/>
                <c:pt idx="0">
                  <c:v>GS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GRAPHS'!$B$356:$M$356</c:f>
              <c:numCache>
                <c:formatCode>#,##0</c:formatCode>
                <c:ptCount val="12"/>
                <c:pt idx="0">
                  <c:v>2192.3128529708379</c:v>
                </c:pt>
                <c:pt idx="1">
                  <c:v>2192.3128529708379</c:v>
                </c:pt>
                <c:pt idx="2">
                  <c:v>2653.2378234942275</c:v>
                </c:pt>
                <c:pt idx="3">
                  <c:v>5909.4497120304322</c:v>
                </c:pt>
                <c:pt idx="4">
                  <c:v>10215.82159911873</c:v>
                </c:pt>
                <c:pt idx="5">
                  <c:v>14549.727833311175</c:v>
                </c:pt>
                <c:pt idx="6">
                  <c:v>16614.80386612206</c:v>
                </c:pt>
                <c:pt idx="7">
                  <c:v>14566.988050339261</c:v>
                </c:pt>
                <c:pt idx="8">
                  <c:v>10915.194015564017</c:v>
                </c:pt>
                <c:pt idx="9">
                  <c:v>6528.4218349316134</c:v>
                </c:pt>
                <c:pt idx="10">
                  <c:v>3513.9615139698039</c:v>
                </c:pt>
                <c:pt idx="11">
                  <c:v>2192.3128529708379</c:v>
                </c:pt>
              </c:numCache>
            </c:numRef>
          </c:val>
        </c:ser>
        <c:ser>
          <c:idx val="2"/>
          <c:order val="2"/>
          <c:tx>
            <c:strRef>
              <c:f>'MCFS GRAPHS'!$A$357</c:f>
              <c:strCache>
                <c:ptCount val="1"/>
                <c:pt idx="0">
                  <c:v>CIS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GRAPHS'!$B$357:$M$357</c:f>
              <c:numCache>
                <c:formatCode>#,##0</c:formatCode>
                <c:ptCount val="12"/>
                <c:pt idx="0">
                  <c:v>2310.5</c:v>
                </c:pt>
                <c:pt idx="1">
                  <c:v>2310.5</c:v>
                </c:pt>
                <c:pt idx="2">
                  <c:v>2484.6904999999997</c:v>
                </c:pt>
                <c:pt idx="3">
                  <c:v>3715.2620967741937</c:v>
                </c:pt>
                <c:pt idx="4">
                  <c:v>5342.7049999999999</c:v>
                </c:pt>
                <c:pt idx="5">
                  <c:v>6980.5535483870963</c:v>
                </c:pt>
                <c:pt idx="6">
                  <c:v>7760.97693548387</c:v>
                </c:pt>
                <c:pt idx="7">
                  <c:v>6935.9732758620694</c:v>
                </c:pt>
                <c:pt idx="8">
                  <c:v>5607.0083870967746</c:v>
                </c:pt>
                <c:pt idx="9">
                  <c:v>3949.1809999999996</c:v>
                </c:pt>
                <c:pt idx="10">
                  <c:v>2809.9709677419355</c:v>
                </c:pt>
                <c:pt idx="11">
                  <c:v>2310.5</c:v>
                </c:pt>
              </c:numCache>
            </c:numRef>
          </c:val>
        </c:ser>
        <c:ser>
          <c:idx val="3"/>
          <c:order val="3"/>
          <c:tx>
            <c:strRef>
              <c:f>'MCFS GRAPHS'!$A$358</c:f>
              <c:strCache>
                <c:ptCount val="1"/>
                <c:pt idx="0">
                  <c:v>MS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GRAPHS'!$B$358:$M$358</c:f>
              <c:numCache>
                <c:formatCode>#,##0</c:formatCode>
                <c:ptCount val="12"/>
                <c:pt idx="0">
                  <c:v>102</c:v>
                </c:pt>
                <c:pt idx="1">
                  <c:v>102</c:v>
                </c:pt>
                <c:pt idx="2">
                  <c:v>153.40799999999999</c:v>
                </c:pt>
                <c:pt idx="3">
                  <c:v>516.58064516129036</c:v>
                </c:pt>
                <c:pt idx="4">
                  <c:v>996.88</c:v>
                </c:pt>
                <c:pt idx="5">
                  <c:v>1480.2503225806452</c:v>
                </c:pt>
                <c:pt idx="6">
                  <c:v>1710.5729032258066</c:v>
                </c:pt>
                <c:pt idx="7">
                  <c:v>1487.0896551724138</c:v>
                </c:pt>
                <c:pt idx="8">
                  <c:v>1074.8825806451614</c:v>
                </c:pt>
                <c:pt idx="9">
                  <c:v>585.6160000000001</c:v>
                </c:pt>
                <c:pt idx="10">
                  <c:v>249.40645161290323</c:v>
                </c:pt>
                <c:pt idx="11">
                  <c:v>102</c:v>
                </c:pt>
              </c:numCache>
            </c:numRef>
          </c:val>
        </c:ser>
        <c:ser>
          <c:idx val="4"/>
          <c:order val="4"/>
          <c:tx>
            <c:strRef>
              <c:f>'MCFS GRAPHS'!$A$359</c:f>
              <c:strCache>
                <c:ptCount val="1"/>
                <c:pt idx="0">
                  <c:v>FS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GRAPHS'!$B$359:$M$359</c:f>
              <c:numCache>
                <c:formatCode>#,##0</c:formatCode>
                <c:ptCount val="12"/>
                <c:pt idx="0">
                  <c:v>658.06451612903231</c:v>
                </c:pt>
                <c:pt idx="1">
                  <c:v>612.90322580645159</c:v>
                </c:pt>
                <c:pt idx="2">
                  <c:v>640</c:v>
                </c:pt>
                <c:pt idx="3">
                  <c:v>535.48387096774195</c:v>
                </c:pt>
                <c:pt idx="4">
                  <c:v>916.66666666666663</c:v>
                </c:pt>
                <c:pt idx="5">
                  <c:v>1183.8709677419354</c:v>
                </c:pt>
                <c:pt idx="6">
                  <c:v>1390.3225806451612</c:v>
                </c:pt>
                <c:pt idx="7">
                  <c:v>1148.2758620689656</c:v>
                </c:pt>
                <c:pt idx="8">
                  <c:v>845.16129032258061</c:v>
                </c:pt>
                <c:pt idx="9">
                  <c:v>973.33333333333337</c:v>
                </c:pt>
                <c:pt idx="10">
                  <c:v>380.64516129032256</c:v>
                </c:pt>
                <c:pt idx="11">
                  <c:v>376.66666666666669</c:v>
                </c:pt>
              </c:numCache>
            </c:numRef>
          </c:val>
        </c:ser>
        <c:ser>
          <c:idx val="5"/>
          <c:order val="5"/>
          <c:tx>
            <c:strRef>
              <c:f>'MCFS GRAPHS'!$A$360</c:f>
              <c:strCache>
                <c:ptCount val="1"/>
                <c:pt idx="0">
                  <c:v>LVS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GRAPHS'!$B$360:$M$360</c:f>
              <c:numCache>
                <c:formatCode>#,##0</c:formatCode>
                <c:ptCount val="12"/>
                <c:pt idx="0">
                  <c:v>6451.6129032258068</c:v>
                </c:pt>
                <c:pt idx="1">
                  <c:v>6290.322580645161</c:v>
                </c:pt>
                <c:pt idx="2">
                  <c:v>5916.666666666667</c:v>
                </c:pt>
                <c:pt idx="3">
                  <c:v>9032.2580645161288</c:v>
                </c:pt>
                <c:pt idx="4">
                  <c:v>9333.3333333333339</c:v>
                </c:pt>
                <c:pt idx="5">
                  <c:v>10806.451612903225</c:v>
                </c:pt>
                <c:pt idx="6">
                  <c:v>10967.741935483871</c:v>
                </c:pt>
                <c:pt idx="7">
                  <c:v>10344.827586206897</c:v>
                </c:pt>
                <c:pt idx="8">
                  <c:v>8870.967741935483</c:v>
                </c:pt>
                <c:pt idx="9">
                  <c:v>8666.6666666666661</c:v>
                </c:pt>
                <c:pt idx="10">
                  <c:v>7096.7741935483873</c:v>
                </c:pt>
                <c:pt idx="11">
                  <c:v>6483.333333333333</c:v>
                </c:pt>
              </c:numCache>
            </c:numRef>
          </c:val>
        </c:ser>
        <c:overlap val="100"/>
        <c:axId val="141235328"/>
        <c:axId val="141236864"/>
      </c:barChart>
      <c:dateAx>
        <c:axId val="14123532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23686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412368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Mcfs/day</a:t>
                </a:r>
              </a:p>
            </c:rich>
          </c:tx>
          <c:layout>
            <c:manualLayout>
              <c:xMode val="edge"/>
              <c:yMode val="edge"/>
              <c:x val="1.6376655286781241E-2"/>
              <c:y val="0.45516147036981125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2353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044008530859538"/>
          <c:y val="0.94754807670130869"/>
          <c:w val="0.23234395906484911"/>
          <c:h val="4.060925600468656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Sales - YTD Actual vs Projections</a:t>
            </a:r>
          </a:p>
        </c:rich>
      </c:tx>
      <c:layout>
        <c:manualLayout>
          <c:xMode val="edge"/>
          <c:yMode val="edge"/>
          <c:x val="0.31226299877072639"/>
          <c:y val="2.97951537489148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010113780025312"/>
          <c:y val="0.12849185378086794"/>
          <c:w val="0.83691529709228862"/>
          <c:h val="0.74674251255259427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GRAPHS'!$A$121</c:f>
              <c:strCache>
                <c:ptCount val="1"/>
                <c:pt idx="0">
                  <c:v>PGC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GRAPHS'!$B$121:$M$121</c:f>
              <c:numCache>
                <c:formatCode>#,##0</c:formatCode>
                <c:ptCount val="12"/>
                <c:pt idx="0">
                  <c:v>265455.36197752296</c:v>
                </c:pt>
                <c:pt idx="1">
                  <c:v>265455.36197752296</c:v>
                </c:pt>
                <c:pt idx="2">
                  <c:v>311662.06562571833</c:v>
                </c:pt>
                <c:pt idx="3">
                  <c:v>721870.19398601213</c:v>
                </c:pt>
                <c:pt idx="4">
                  <c:v>1210292.1570913212</c:v>
                </c:pt>
                <c:pt idx="5">
                  <c:v>1782781.1146101886</c:v>
                </c:pt>
                <c:pt idx="6">
                  <c:v>2036344.9101704606</c:v>
                </c:pt>
                <c:pt idx="7">
                  <c:v>1669865.9403589857</c:v>
                </c:pt>
                <c:pt idx="8">
                  <c:v>1336508.8344241108</c:v>
                </c:pt>
                <c:pt idx="9">
                  <c:v>772133.91836317175</c:v>
                </c:pt>
                <c:pt idx="10">
                  <c:v>427736.19113609678</c:v>
                </c:pt>
                <c:pt idx="11">
                  <c:v>256892.28578469966</c:v>
                </c:pt>
              </c:numCache>
            </c:numRef>
          </c:val>
        </c:ser>
        <c:ser>
          <c:idx val="1"/>
          <c:order val="1"/>
          <c:tx>
            <c:strRef>
              <c:f>'MCFS GRAPHS'!$A$122</c:f>
              <c:strCache>
                <c:ptCount val="1"/>
                <c:pt idx="0">
                  <c:v>PGC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GRAPHS'!$B$122:$M$122</c:f>
              <c:numCache>
                <c:formatCode>#,##0</c:formatCode>
                <c:ptCount val="12"/>
                <c:pt idx="0">
                  <c:v>238580.8</c:v>
                </c:pt>
                <c:pt idx="1">
                  <c:v>254773.5</c:v>
                </c:pt>
                <c:pt idx="2">
                  <c:v>279880</c:v>
                </c:pt>
                <c:pt idx="3">
                  <c:v>504923</c:v>
                </c:pt>
                <c:pt idx="4">
                  <c:v>1182529.3</c:v>
                </c:pt>
                <c:pt idx="5">
                  <c:v>2571218.2000000002</c:v>
                </c:pt>
                <c:pt idx="6">
                  <c:v>2556244</c:v>
                </c:pt>
                <c:pt idx="7">
                  <c:v>1644464.4000000001</c:v>
                </c:pt>
                <c:pt idx="8">
                  <c:v>1338733.7999999998</c:v>
                </c:pt>
                <c:pt idx="9">
                  <c:v>635148.20000000007</c:v>
                </c:pt>
                <c:pt idx="10">
                  <c:v>360199.8</c:v>
                </c:pt>
                <c:pt idx="11">
                  <c:v>278060.90000000002</c:v>
                </c:pt>
              </c:numCache>
            </c:numRef>
          </c:val>
        </c:ser>
        <c:ser>
          <c:idx val="2"/>
          <c:order val="2"/>
          <c:tx>
            <c:strRef>
              <c:f>'MCFS GRAPHS'!$A$123</c:f>
              <c:strCache>
                <c:ptCount val="1"/>
                <c:pt idx="0">
                  <c:v>PGC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GRAPHS'!$B$123:$M$123</c:f>
              <c:numCache>
                <c:formatCode>#,##0</c:formatCode>
                <c:ptCount val="12"/>
                <c:pt idx="0">
                  <c:v>238580.8</c:v>
                </c:pt>
                <c:pt idx="1">
                  <c:v>254773.5</c:v>
                </c:pt>
                <c:pt idx="2">
                  <c:v>279880</c:v>
                </c:pt>
                <c:pt idx="3">
                  <c:v>556939.93834388186</c:v>
                </c:pt>
                <c:pt idx="4">
                  <c:v>1093607.7102564101</c:v>
                </c:pt>
                <c:pt idx="5">
                  <c:v>1764821.0053073771</c:v>
                </c:pt>
                <c:pt idx="6">
                  <c:v>2068361.9175106157</c:v>
                </c:pt>
                <c:pt idx="7">
                  <c:v>1744313.1750298152</c:v>
                </c:pt>
                <c:pt idx="8">
                  <c:v>1228040.5229866668</c:v>
                </c:pt>
                <c:pt idx="9">
                  <c:v>737047.12699999998</c:v>
                </c:pt>
                <c:pt idx="10">
                  <c:v>360199.8</c:v>
                </c:pt>
                <c:pt idx="11">
                  <c:v>278060.90000000002</c:v>
                </c:pt>
              </c:numCache>
            </c:numRef>
          </c:val>
        </c:ser>
        <c:axId val="182915840"/>
        <c:axId val="182917376"/>
      </c:barChart>
      <c:dateAx>
        <c:axId val="18291584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91737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29173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2.0227515864314496E-2"/>
              <c:y val="0.472998979576297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9158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616937439782751"/>
          <c:y val="0.94599795915259766"/>
          <c:w val="0.42477876341407367"/>
          <c:h val="4.09684379394549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Monthly Sales - YTD Actual vs Projections</a:t>
            </a:r>
          </a:p>
        </c:rich>
      </c:tx>
      <c:layout>
        <c:manualLayout>
          <c:xMode val="edge"/>
          <c:yMode val="edge"/>
          <c:x val="0.29193418130426707"/>
          <c:y val="2.97951537489148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01155122527015"/>
          <c:y val="0.12849185378086794"/>
          <c:w val="0.8463529488259901"/>
          <c:h val="0.74674251255259427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GRAPHS'!$A$211</c:f>
              <c:strCache>
                <c:ptCount val="1"/>
                <c:pt idx="0">
                  <c:v>NON-PGC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GRAPHS'!$B$211:$M$211</c:f>
              <c:numCache>
                <c:formatCode>#,##0</c:formatCode>
                <c:ptCount val="12"/>
                <c:pt idx="0">
                  <c:v>220400</c:v>
                </c:pt>
                <c:pt idx="1">
                  <c:v>214000</c:v>
                </c:pt>
                <c:pt idx="2">
                  <c:v>196700</c:v>
                </c:pt>
                <c:pt idx="3">
                  <c:v>296600</c:v>
                </c:pt>
                <c:pt idx="4">
                  <c:v>307500</c:v>
                </c:pt>
                <c:pt idx="5">
                  <c:v>371700</c:v>
                </c:pt>
                <c:pt idx="6">
                  <c:v>383100</c:v>
                </c:pt>
                <c:pt idx="7">
                  <c:v>333300</c:v>
                </c:pt>
                <c:pt idx="8">
                  <c:v>301200</c:v>
                </c:pt>
                <c:pt idx="9">
                  <c:v>289200</c:v>
                </c:pt>
                <c:pt idx="10">
                  <c:v>231800</c:v>
                </c:pt>
                <c:pt idx="11">
                  <c:v>205800</c:v>
                </c:pt>
              </c:numCache>
            </c:numRef>
          </c:val>
        </c:ser>
        <c:ser>
          <c:idx val="1"/>
          <c:order val="1"/>
          <c:tx>
            <c:strRef>
              <c:f>'MCFS GRAPHS'!$A$212</c:f>
              <c:strCache>
                <c:ptCount val="1"/>
                <c:pt idx="0">
                  <c:v>NON-PGC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GRAPHS'!$B$212:$M$212</c:f>
              <c:numCache>
                <c:formatCode>#,##0</c:formatCode>
                <c:ptCount val="12"/>
                <c:pt idx="0">
                  <c:v>221336</c:v>
                </c:pt>
                <c:pt idx="1">
                  <c:v>228946.3</c:v>
                </c:pt>
                <c:pt idx="2">
                  <c:v>247884</c:v>
                </c:pt>
                <c:pt idx="3">
                  <c:v>272765</c:v>
                </c:pt>
                <c:pt idx="4">
                  <c:v>329173.8</c:v>
                </c:pt>
                <c:pt idx="5">
                  <c:v>419536.6</c:v>
                </c:pt>
                <c:pt idx="6">
                  <c:v>444747</c:v>
                </c:pt>
                <c:pt idx="7">
                  <c:v>352434.3</c:v>
                </c:pt>
                <c:pt idx="8">
                  <c:v>319091.19999999995</c:v>
                </c:pt>
                <c:pt idx="9">
                  <c:v>329104</c:v>
                </c:pt>
                <c:pt idx="10">
                  <c:v>241060.59999999998</c:v>
                </c:pt>
                <c:pt idx="11">
                  <c:v>221191</c:v>
                </c:pt>
              </c:numCache>
            </c:numRef>
          </c:val>
        </c:ser>
        <c:ser>
          <c:idx val="2"/>
          <c:order val="2"/>
          <c:tx>
            <c:strRef>
              <c:f>'MCFS GRAPHS'!$A$213</c:f>
              <c:strCache>
                <c:ptCount val="1"/>
                <c:pt idx="0">
                  <c:v>NON-PGC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'MCFS GRAPHS'!$B$213:$M$213</c:f>
              <c:numCache>
                <c:formatCode>#,##0</c:formatCode>
                <c:ptCount val="12"/>
                <c:pt idx="0">
                  <c:v>221336</c:v>
                </c:pt>
                <c:pt idx="1">
                  <c:v>228946.3</c:v>
                </c:pt>
                <c:pt idx="2">
                  <c:v>247884</c:v>
                </c:pt>
                <c:pt idx="3">
                  <c:v>281191.74952531641</c:v>
                </c:pt>
                <c:pt idx="4">
                  <c:v>319899.59807692305</c:v>
                </c:pt>
                <c:pt idx="5">
                  <c:v>354419.49661885243</c:v>
                </c:pt>
                <c:pt idx="6">
                  <c:v>399742.35164012737</c:v>
                </c:pt>
                <c:pt idx="7">
                  <c:v>361054.00670840789</c:v>
                </c:pt>
                <c:pt idx="8">
                  <c:v>310247.00415999995</c:v>
                </c:pt>
                <c:pt idx="9">
                  <c:v>355127.11299999995</c:v>
                </c:pt>
                <c:pt idx="10">
                  <c:v>241060.59999999998</c:v>
                </c:pt>
                <c:pt idx="11">
                  <c:v>221191</c:v>
                </c:pt>
              </c:numCache>
            </c:numRef>
          </c:val>
        </c:ser>
        <c:axId val="182956032"/>
        <c:axId val="182957568"/>
      </c:barChart>
      <c:dateAx>
        <c:axId val="18295603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95756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829575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2.0486573793660409E-2"/>
              <c:y val="0.472998979576297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9560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6760629921259882"/>
          <c:y val="0.94599795915259766"/>
          <c:w val="0.53009098862642179"/>
          <c:h val="4.09684379394549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NYMEX Natural Gas Futures (Henry Hub) 7Jun11</a:t>
            </a:r>
          </a:p>
        </c:rich>
      </c:tx>
      <c:layout>
        <c:manualLayout>
          <c:xMode val="edge"/>
          <c:yMode val="edge"/>
          <c:x val="0.28542335582285927"/>
          <c:y val="2.9059919907880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491413508432084E-2"/>
          <c:y val="0.15213700610477784"/>
          <c:w val="0.89296724978422093"/>
          <c:h val="0.72649693926438863"/>
        </c:manualLayout>
      </c:layout>
      <c:lineChart>
        <c:grouping val="standard"/>
        <c:ser>
          <c:idx val="0"/>
          <c:order val="0"/>
          <c:tx>
            <c:v>Future 3 years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'FT GAS'!$E$184:$E$219</c:f>
              <c:numCache>
                <c:formatCode>[$-409]mmm\-yy;@</c:formatCode>
                <c:ptCount val="36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  <c:pt idx="12">
                  <c:v>41091</c:v>
                </c:pt>
                <c:pt idx="13">
                  <c:v>41122</c:v>
                </c:pt>
                <c:pt idx="14">
                  <c:v>41153</c:v>
                </c:pt>
                <c:pt idx="15">
                  <c:v>41183</c:v>
                </c:pt>
                <c:pt idx="16">
                  <c:v>41214</c:v>
                </c:pt>
                <c:pt idx="17">
                  <c:v>41244</c:v>
                </c:pt>
                <c:pt idx="18">
                  <c:v>41275</c:v>
                </c:pt>
                <c:pt idx="19">
                  <c:v>41306</c:v>
                </c:pt>
                <c:pt idx="20">
                  <c:v>41334</c:v>
                </c:pt>
                <c:pt idx="21">
                  <c:v>41365</c:v>
                </c:pt>
                <c:pt idx="22">
                  <c:v>41395</c:v>
                </c:pt>
                <c:pt idx="23">
                  <c:v>41426</c:v>
                </c:pt>
                <c:pt idx="24">
                  <c:v>41456</c:v>
                </c:pt>
                <c:pt idx="25">
                  <c:v>41487</c:v>
                </c:pt>
                <c:pt idx="26">
                  <c:v>41518</c:v>
                </c:pt>
                <c:pt idx="27">
                  <c:v>41548</c:v>
                </c:pt>
                <c:pt idx="28">
                  <c:v>41579</c:v>
                </c:pt>
                <c:pt idx="29">
                  <c:v>41609</c:v>
                </c:pt>
                <c:pt idx="30">
                  <c:v>41640</c:v>
                </c:pt>
                <c:pt idx="31">
                  <c:v>41671</c:v>
                </c:pt>
                <c:pt idx="32">
                  <c:v>41699</c:v>
                </c:pt>
                <c:pt idx="33">
                  <c:v>41730</c:v>
                </c:pt>
                <c:pt idx="34">
                  <c:v>41760</c:v>
                </c:pt>
                <c:pt idx="35">
                  <c:v>41791</c:v>
                </c:pt>
              </c:numCache>
            </c:numRef>
          </c:cat>
          <c:val>
            <c:numRef>
              <c:f>'FT GAS'!$G$184:$G$219</c:f>
              <c:numCache>
                <c:formatCode>"$"#,##0.000_);[Red]\("$"#,##0.000\)</c:formatCode>
                <c:ptCount val="36"/>
                <c:pt idx="0">
                  <c:v>4.3570000000000002</c:v>
                </c:pt>
                <c:pt idx="1">
                  <c:v>4.32</c:v>
                </c:pt>
                <c:pt idx="2">
                  <c:v>3.9940000000000002</c:v>
                </c:pt>
                <c:pt idx="3">
                  <c:v>4.0149999999999997</c:v>
                </c:pt>
                <c:pt idx="4">
                  <c:v>4.1669999999999998</c:v>
                </c:pt>
                <c:pt idx="5">
                  <c:v>4.3879999999999999</c:v>
                </c:pt>
                <c:pt idx="6">
                  <c:v>4.4850000000000003</c:v>
                </c:pt>
                <c:pt idx="7">
                  <c:v>4.4859999999999998</c:v>
                </c:pt>
                <c:pt idx="8">
                  <c:v>4.4580000000000002</c:v>
                </c:pt>
                <c:pt idx="9">
                  <c:v>4.4130000000000003</c:v>
                </c:pt>
                <c:pt idx="10">
                  <c:v>4.4390000000000001</c:v>
                </c:pt>
                <c:pt idx="11">
                  <c:v>4.4710000000000001</c:v>
                </c:pt>
                <c:pt idx="12">
                  <c:v>4.51</c:v>
                </c:pt>
                <c:pt idx="13">
                  <c:v>4.5339999999999998</c:v>
                </c:pt>
                <c:pt idx="14">
                  <c:v>4.5380000000000003</c:v>
                </c:pt>
                <c:pt idx="15">
                  <c:v>4.57</c:v>
                </c:pt>
                <c:pt idx="16">
                  <c:v>4.7300000000000004</c:v>
                </c:pt>
                <c:pt idx="17">
                  <c:v>4.9630000000000001</c:v>
                </c:pt>
                <c:pt idx="18">
                  <c:v>5.09</c:v>
                </c:pt>
                <c:pt idx="19">
                  <c:v>5.0629999999999997</c:v>
                </c:pt>
                <c:pt idx="20">
                  <c:v>4.9939999999999998</c:v>
                </c:pt>
                <c:pt idx="21" formatCode="&quot;$&quot;#,##0.000">
                  <c:v>4.8259999999999996</c:v>
                </c:pt>
                <c:pt idx="22" formatCode="&quot;$&quot;#,##0.000">
                  <c:v>4.8380000000000001</c:v>
                </c:pt>
                <c:pt idx="23" formatCode="&quot;$&quot;#,##0.000">
                  <c:v>4.8730000000000002</c:v>
                </c:pt>
                <c:pt idx="24" formatCode="&quot;$&quot;#,##0.000">
                  <c:v>4.9059999999999997</c:v>
                </c:pt>
                <c:pt idx="25" formatCode="&quot;$&quot;#,##0.000">
                  <c:v>4.9279999999999999</c:v>
                </c:pt>
                <c:pt idx="26" formatCode="&quot;$&quot;#,##0.000">
                  <c:v>4.9329999999999998</c:v>
                </c:pt>
                <c:pt idx="27" formatCode="&quot;$&quot;#,##0.000">
                  <c:v>4.9690000000000003</c:v>
                </c:pt>
                <c:pt idx="28" formatCode="&quot;$&quot;#,##0.000">
                  <c:v>5.1050000000000004</c:v>
                </c:pt>
                <c:pt idx="29" formatCode="&quot;$&quot;#,##0.000">
                  <c:v>5.335</c:v>
                </c:pt>
                <c:pt idx="30" formatCode="&quot;$&quot;#,##0.000">
                  <c:v>5.452</c:v>
                </c:pt>
                <c:pt idx="31" formatCode="&quot;$&quot;#,##0.000">
                  <c:v>5.4219999999999997</c:v>
                </c:pt>
                <c:pt idx="32" formatCode="&quot;$&quot;#,##0.000">
                  <c:v>5.34</c:v>
                </c:pt>
                <c:pt idx="33" formatCode="&quot;$&quot;#,##0.000">
                  <c:v>5.0679999999999996</c:v>
                </c:pt>
                <c:pt idx="34" formatCode="&quot;$&quot;#,##0.000">
                  <c:v>5.0780000000000003</c:v>
                </c:pt>
                <c:pt idx="35" formatCode="&quot;$&quot;#,##0.000">
                  <c:v>5.1079999999999997</c:v>
                </c:pt>
              </c:numCache>
            </c:numRef>
          </c:val>
        </c:ser>
        <c:marker val="1"/>
        <c:axId val="217953408"/>
        <c:axId val="217955328"/>
      </c:lineChart>
      <c:dateAx>
        <c:axId val="217953408"/>
        <c:scaling>
          <c:orientation val="minMax"/>
          <c:max val="41820"/>
          <c:min val="40725"/>
        </c:scaling>
        <c:axPos val="b"/>
        <c:numFmt formatCode="[$-409]mmm\-yy;@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21795532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17955328"/>
        <c:scaling>
          <c:orientation val="minMax"/>
          <c:max val="6"/>
          <c:min val="3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US"/>
                  <a:t>$/MMBtu</a:t>
                </a:r>
              </a:p>
            </c:rich>
          </c:tx>
          <c:layout>
            <c:manualLayout>
              <c:xMode val="edge"/>
              <c:yMode val="edge"/>
              <c:x val="1.6309893778615223E-2"/>
              <c:y val="0.46495797261576782"/>
            </c:manualLayout>
          </c:layout>
          <c:spPr>
            <a:noFill/>
            <a:ln w="25400">
              <a:noFill/>
            </a:ln>
          </c:spPr>
        </c:title>
        <c:numFmt formatCode="\$#,##0_);[Red]\(\$#,##0\)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217953408"/>
        <c:crosses val="autoZero"/>
        <c:crossBetween val="midCat"/>
        <c:majorUnit val="1"/>
        <c:minorUnit val="0.25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Purchases by Pipeline</a:t>
            </a:r>
          </a:p>
        </c:rich>
      </c:tx>
      <c:layout>
        <c:manualLayout>
          <c:xMode val="edge"/>
          <c:yMode val="edge"/>
          <c:x val="0.40308884219055036"/>
          <c:y val="2.99065820655913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397683397684247E-2"/>
          <c:y val="0.14018742767022371"/>
          <c:w val="0.88803088803088803"/>
          <c:h val="0.72336712677835358"/>
        </c:manualLayout>
      </c:layout>
      <c:barChart>
        <c:barDir val="col"/>
        <c:grouping val="stacked"/>
        <c:ser>
          <c:idx val="1"/>
          <c:order val="0"/>
          <c:tx>
            <c:strRef>
              <c:f>'GAS '!$A$126</c:f>
              <c:strCache>
                <c:ptCount val="1"/>
                <c:pt idx="0">
                  <c:v>COLUMBIA DTH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'!$C$126:$N$126</c:f>
              <c:numCache>
                <c:formatCode>#,##0</c:formatCode>
                <c:ptCount val="12"/>
                <c:pt idx="0">
                  <c:v>1011375</c:v>
                </c:pt>
                <c:pt idx="1">
                  <c:v>1011778</c:v>
                </c:pt>
                <c:pt idx="2">
                  <c:v>653658</c:v>
                </c:pt>
                <c:pt idx="3">
                  <c:v>575302</c:v>
                </c:pt>
                <c:pt idx="4">
                  <c:v>1190877</c:v>
                </c:pt>
                <c:pt idx="5">
                  <c:v>1739591</c:v>
                </c:pt>
                <c:pt idx="6">
                  <c:v>1785759</c:v>
                </c:pt>
                <c:pt idx="7">
                  <c:v>1035127</c:v>
                </c:pt>
                <c:pt idx="8">
                  <c:v>825549</c:v>
                </c:pt>
                <c:pt idx="9">
                  <c:v>804575</c:v>
                </c:pt>
                <c:pt idx="10">
                  <c:v>803399</c:v>
                </c:pt>
                <c:pt idx="11">
                  <c:v>592005</c:v>
                </c:pt>
              </c:numCache>
            </c:numRef>
          </c:val>
        </c:ser>
        <c:ser>
          <c:idx val="2"/>
          <c:order val="1"/>
          <c:tx>
            <c:strRef>
              <c:f>'GAS '!$A$127</c:f>
              <c:strCache>
                <c:ptCount val="1"/>
                <c:pt idx="0">
                  <c:v>TRANSCO DTH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'!$C$127:$N$127</c:f>
              <c:numCache>
                <c:formatCode>#,##0</c:formatCode>
                <c:ptCount val="12"/>
                <c:pt idx="0">
                  <c:v>324771</c:v>
                </c:pt>
                <c:pt idx="1">
                  <c:v>324849</c:v>
                </c:pt>
                <c:pt idx="2">
                  <c:v>314370</c:v>
                </c:pt>
                <c:pt idx="3">
                  <c:v>324849</c:v>
                </c:pt>
                <c:pt idx="4">
                  <c:v>314370</c:v>
                </c:pt>
                <c:pt idx="5">
                  <c:v>324849</c:v>
                </c:pt>
                <c:pt idx="6">
                  <c:v>324849</c:v>
                </c:pt>
                <c:pt idx="7">
                  <c:v>293412</c:v>
                </c:pt>
                <c:pt idx="8">
                  <c:v>324849</c:v>
                </c:pt>
                <c:pt idx="9">
                  <c:v>311700</c:v>
                </c:pt>
                <c:pt idx="10">
                  <c:v>322090</c:v>
                </c:pt>
                <c:pt idx="11">
                  <c:v>311700</c:v>
                </c:pt>
              </c:numCache>
            </c:numRef>
          </c:val>
        </c:ser>
        <c:ser>
          <c:idx val="0"/>
          <c:order val="2"/>
          <c:tx>
            <c:strRef>
              <c:f>'GAS '!$A$125</c:f>
              <c:strCache>
                <c:ptCount val="1"/>
                <c:pt idx="0">
                  <c:v>DTI DTH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'!$C$125:$N$125</c:f>
              <c:numCache>
                <c:formatCode>#,##0</c:formatCode>
                <c:ptCount val="12"/>
                <c:pt idx="0">
                  <c:v>140027</c:v>
                </c:pt>
                <c:pt idx="1">
                  <c:v>124117</c:v>
                </c:pt>
                <c:pt idx="2">
                  <c:v>135510</c:v>
                </c:pt>
                <c:pt idx="3">
                  <c:v>171957</c:v>
                </c:pt>
                <c:pt idx="4">
                  <c:v>12000</c:v>
                </c:pt>
                <c:pt idx="5">
                  <c:v>497400</c:v>
                </c:pt>
                <c:pt idx="6">
                  <c:v>458046</c:v>
                </c:pt>
                <c:pt idx="7">
                  <c:v>295319</c:v>
                </c:pt>
                <c:pt idx="8">
                  <c:v>12400</c:v>
                </c:pt>
                <c:pt idx="9">
                  <c:v>146880</c:v>
                </c:pt>
                <c:pt idx="10">
                  <c:v>167276</c:v>
                </c:pt>
                <c:pt idx="11">
                  <c:v>181710</c:v>
                </c:pt>
              </c:numCache>
            </c:numRef>
          </c:val>
        </c:ser>
        <c:overlap val="100"/>
        <c:axId val="225135232"/>
        <c:axId val="225165696"/>
      </c:barChart>
      <c:dateAx>
        <c:axId val="22513523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16569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1656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2355199972993718E-2"/>
              <c:y val="0.478506332339527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1352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467183161590332"/>
          <c:y val="0.94205947557526182"/>
          <c:w val="0.22471039994598746"/>
          <c:h val="4.485997502739349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 orientation="landscape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Purchase% by Pipeline</a:t>
            </a:r>
          </a:p>
        </c:rich>
      </c:tx>
      <c:layout>
        <c:manualLayout>
          <c:xMode val="edge"/>
          <c:yMode val="edge"/>
          <c:x val="0.33359073684921686"/>
          <c:y val="2.491515415696712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8841698841700021E-2"/>
          <c:y val="0.1268405976619959"/>
          <c:w val="0.86100386100386095"/>
          <c:h val="0.75764606996318073"/>
        </c:manualLayout>
      </c:layout>
      <c:barChart>
        <c:barDir val="col"/>
        <c:grouping val="stacked"/>
        <c:ser>
          <c:idx val="1"/>
          <c:order val="0"/>
          <c:tx>
            <c:strRef>
              <c:f>'GAS '!$A$122</c:f>
              <c:strCache>
                <c:ptCount val="1"/>
                <c:pt idx="0">
                  <c:v>COLUMBIA%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'!$C$122:$N$122</c:f>
              <c:numCache>
                <c:formatCode>0%</c:formatCode>
                <c:ptCount val="12"/>
                <c:pt idx="0">
                  <c:v>0.6851331110919926</c:v>
                </c:pt>
                <c:pt idx="1">
                  <c:v>0.69264566549648676</c:v>
                </c:pt>
                <c:pt idx="2">
                  <c:v>0.59232939871576695</c:v>
                </c:pt>
                <c:pt idx="3">
                  <c:v>0.53660825215370089</c:v>
                </c:pt>
                <c:pt idx="4">
                  <c:v>0.78489329687255927</c:v>
                </c:pt>
                <c:pt idx="5">
                  <c:v>0.67903967460887482</c:v>
                </c:pt>
                <c:pt idx="6">
                  <c:v>0.6952119670457757</c:v>
                </c:pt>
                <c:pt idx="7">
                  <c:v>0.63744921046052061</c:v>
                </c:pt>
                <c:pt idx="8">
                  <c:v>0.70996768140296074</c:v>
                </c:pt>
                <c:pt idx="9">
                  <c:v>0.63695666802569761</c:v>
                </c:pt>
                <c:pt idx="10">
                  <c:v>0.62145788290988691</c:v>
                </c:pt>
                <c:pt idx="11">
                  <c:v>0.54541811196639078</c:v>
                </c:pt>
              </c:numCache>
            </c:numRef>
          </c:val>
        </c:ser>
        <c:ser>
          <c:idx val="2"/>
          <c:order val="1"/>
          <c:tx>
            <c:strRef>
              <c:f>'GAS '!$A$123</c:f>
              <c:strCache>
                <c:ptCount val="1"/>
                <c:pt idx="0">
                  <c:v>TRANSCO%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'!$C$123:$N$123</c:f>
              <c:numCache>
                <c:formatCode>0%</c:formatCode>
                <c:ptCount val="12"/>
                <c:pt idx="0">
                  <c:v>0.22000876591022869</c:v>
                </c:pt>
                <c:pt idx="1">
                  <c:v>0.22238598960529701</c:v>
                </c:pt>
                <c:pt idx="2">
                  <c:v>0.28487464863013329</c:v>
                </c:pt>
                <c:pt idx="3">
                  <c:v>0.3030002574367508</c:v>
                </c:pt>
                <c:pt idx="4">
                  <c:v>0.20719764151782802</c:v>
                </c:pt>
                <c:pt idx="5">
                  <c:v>0.12680300096805422</c:v>
                </c:pt>
                <c:pt idx="6">
                  <c:v>0.12646662415412896</c:v>
                </c:pt>
                <c:pt idx="7">
                  <c:v>0.18068821288560946</c:v>
                </c:pt>
                <c:pt idx="8">
                  <c:v>0.27936838556653865</c:v>
                </c:pt>
                <c:pt idx="9">
                  <c:v>0.24676306549869176</c:v>
                </c:pt>
                <c:pt idx="10">
                  <c:v>0.2491481437074797</c:v>
                </c:pt>
                <c:pt idx="11">
                  <c:v>0.28717126628985229</c:v>
                </c:pt>
              </c:numCache>
            </c:numRef>
          </c:val>
        </c:ser>
        <c:ser>
          <c:idx val="0"/>
          <c:order val="2"/>
          <c:tx>
            <c:strRef>
              <c:f>'GAS '!$A$121</c:f>
              <c:strCache>
                <c:ptCount val="1"/>
                <c:pt idx="0">
                  <c:v>DTI%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'!$C$121:$N$121</c:f>
              <c:numCache>
                <c:formatCode>0%</c:formatCode>
                <c:ptCount val="12"/>
                <c:pt idx="0">
                  <c:v>9.485812299777871E-2</c:v>
                </c:pt>
                <c:pt idx="1">
                  <c:v>8.4968344898216253E-2</c:v>
                </c:pt>
                <c:pt idx="2">
                  <c:v>0.12279595265409982</c:v>
                </c:pt>
                <c:pt idx="3">
                  <c:v>0.16039149040954828</c:v>
                </c:pt>
                <c:pt idx="4">
                  <c:v>7.9090616096126731E-3</c:v>
                </c:pt>
                <c:pt idx="5">
                  <c:v>0.19415732442307093</c:v>
                </c:pt>
                <c:pt idx="6">
                  <c:v>0.17832140880009531</c:v>
                </c:pt>
                <c:pt idx="7">
                  <c:v>0.18186257665386998</c:v>
                </c:pt>
                <c:pt idx="8">
                  <c:v>1.0663933030500568E-2</c:v>
                </c:pt>
                <c:pt idx="9">
                  <c:v>0.11628026647561067</c:v>
                </c:pt>
                <c:pt idx="10">
                  <c:v>0.12939397338263334</c:v>
                </c:pt>
                <c:pt idx="11">
                  <c:v>0.16741062174375701</c:v>
                </c:pt>
              </c:numCache>
            </c:numRef>
          </c:val>
        </c:ser>
        <c:overlap val="100"/>
        <c:axId val="225343360"/>
        <c:axId val="225344896"/>
      </c:barChart>
      <c:dateAx>
        <c:axId val="22534336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34489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344896"/>
        <c:scaling>
          <c:orientation val="minMax"/>
          <c:max val="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2355199972993718E-2"/>
              <c:y val="0.48244722059919176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343360"/>
        <c:crosses val="autoZero"/>
        <c:crossBetween val="between"/>
        <c:minorUnit val="0.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915056839760658"/>
          <c:y val="0.95470205800246699"/>
          <c:w val="0.29961389472618177"/>
          <c:h val="3.737273123545071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Purchases by Type</a:t>
            </a:r>
          </a:p>
        </c:rich>
      </c:tx>
      <c:layout>
        <c:manualLayout>
          <c:xMode val="edge"/>
          <c:yMode val="edge"/>
          <c:x val="0.40905484138084269"/>
          <c:y val="2.835555004443338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5782366957903228E-2"/>
          <c:y val="0.14177746107581041"/>
          <c:w val="0.88482922954725951"/>
          <c:h val="0.72022950226512572"/>
        </c:manualLayout>
      </c:layout>
      <c:barChart>
        <c:barDir val="col"/>
        <c:grouping val="stacked"/>
        <c:ser>
          <c:idx val="0"/>
          <c:order val="0"/>
          <c:tx>
            <c:strRef>
              <c:f>'GAS '!$A$91</c:f>
              <c:strCache>
                <c:ptCount val="1"/>
                <c:pt idx="0">
                  <c:v>MONTHLY INDEX TOTAL 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'!$C$91:$N$91</c:f>
              <c:numCache>
                <c:formatCode>#,##0</c:formatCode>
                <c:ptCount val="12"/>
                <c:pt idx="0">
                  <c:v>1445173</c:v>
                </c:pt>
                <c:pt idx="1">
                  <c:v>1429744</c:v>
                </c:pt>
                <c:pt idx="2">
                  <c:v>998538</c:v>
                </c:pt>
                <c:pt idx="3">
                  <c:v>1014963</c:v>
                </c:pt>
                <c:pt idx="4">
                  <c:v>613140</c:v>
                </c:pt>
                <c:pt idx="5">
                  <c:v>757578</c:v>
                </c:pt>
                <c:pt idx="6">
                  <c:v>1070622</c:v>
                </c:pt>
                <c:pt idx="7">
                  <c:v>828383</c:v>
                </c:pt>
                <c:pt idx="8">
                  <c:v>598578</c:v>
                </c:pt>
                <c:pt idx="9">
                  <c:v>1140930</c:v>
                </c:pt>
                <c:pt idx="10">
                  <c:v>1194461</c:v>
                </c:pt>
                <c:pt idx="11">
                  <c:v>1010415</c:v>
                </c:pt>
              </c:numCache>
            </c:numRef>
          </c:val>
        </c:ser>
        <c:ser>
          <c:idx val="1"/>
          <c:order val="1"/>
          <c:tx>
            <c:strRef>
              <c:f>'GAS '!$A$95</c:f>
              <c:strCache>
                <c:ptCount val="1"/>
                <c:pt idx="0">
                  <c:v>HEDGED TOTAL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'!$C$95:$N$95</c:f>
              <c:numCache>
                <c:formatCode>#,##0</c:formatCode>
                <c:ptCount val="12"/>
                <c:pt idx="0">
                  <c:v>31000</c:v>
                </c:pt>
                <c:pt idx="1">
                  <c:v>31000</c:v>
                </c:pt>
                <c:pt idx="2">
                  <c:v>105000</c:v>
                </c:pt>
                <c:pt idx="3">
                  <c:v>31000</c:v>
                </c:pt>
                <c:pt idx="4">
                  <c:v>435000</c:v>
                </c:pt>
                <c:pt idx="5">
                  <c:v>480500</c:v>
                </c:pt>
                <c:pt idx="6">
                  <c:v>480500</c:v>
                </c:pt>
                <c:pt idx="7">
                  <c:v>434000</c:v>
                </c:pt>
                <c:pt idx="8">
                  <c:v>449500</c:v>
                </c:pt>
                <c:pt idx="9">
                  <c:v>0</c:v>
                </c:pt>
                <c:pt idx="10">
                  <c:v>77500</c:v>
                </c:pt>
                <c:pt idx="11">
                  <c:v>75000</c:v>
                </c:pt>
              </c:numCache>
            </c:numRef>
          </c:val>
        </c:ser>
        <c:ser>
          <c:idx val="2"/>
          <c:order val="2"/>
          <c:tx>
            <c:strRef>
              <c:f>'GAS '!$A$99</c:f>
              <c:strCache>
                <c:ptCount val="1"/>
                <c:pt idx="0">
                  <c:v>DAILY INDEX TOTAL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'!$C$99:$N$99</c:f>
              <c:numCache>
                <c:formatCode>#,##0</c:formatCode>
                <c:ptCount val="12"/>
                <c:pt idx="3">
                  <c:v>26145</c:v>
                </c:pt>
                <c:pt idx="4">
                  <c:v>469107</c:v>
                </c:pt>
                <c:pt idx="5">
                  <c:v>1323762</c:v>
                </c:pt>
                <c:pt idx="6">
                  <c:v>1017532</c:v>
                </c:pt>
                <c:pt idx="7">
                  <c:v>361475</c:v>
                </c:pt>
                <c:pt idx="8">
                  <c:v>114720</c:v>
                </c:pt>
                <c:pt idx="9">
                  <c:v>122225</c:v>
                </c:pt>
                <c:pt idx="10">
                  <c:v>20804</c:v>
                </c:pt>
                <c:pt idx="11">
                  <c:v>0</c:v>
                </c:pt>
              </c:numCache>
            </c:numRef>
          </c:val>
        </c:ser>
        <c:overlap val="100"/>
        <c:axId val="225461376"/>
        <c:axId val="225462912"/>
      </c:barChart>
      <c:dateAx>
        <c:axId val="22546137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46291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4629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2708520923935623E-2"/>
              <c:y val="0.4782625498584330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46137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5822084283260647"/>
          <c:y val="0.94140244280488572"/>
          <c:w val="0.33995235996961159"/>
          <c:h val="4.53687974042620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Purchase%  by Type</a:t>
            </a:r>
          </a:p>
        </c:rich>
      </c:tx>
      <c:layout>
        <c:manualLayout>
          <c:xMode val="edge"/>
          <c:yMode val="edge"/>
          <c:x val="0.33819975822524606"/>
          <c:y val="2.497166652755013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381192325939265"/>
          <c:y val="0.12712826333711688"/>
          <c:w val="0.85401527493860063"/>
          <c:h val="0.75709421112373476"/>
        </c:manualLayout>
      </c:layout>
      <c:barChart>
        <c:barDir val="col"/>
        <c:grouping val="stacked"/>
        <c:ser>
          <c:idx val="0"/>
          <c:order val="0"/>
          <c:tx>
            <c:strRef>
              <c:f>'GAS '!$A$91</c:f>
              <c:strCache>
                <c:ptCount val="1"/>
                <c:pt idx="0">
                  <c:v>MONTHLY INDEX TOTAL 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'!$C$94:$N$94</c:f>
              <c:numCache>
                <c:formatCode>0%</c:formatCode>
                <c:ptCount val="12"/>
                <c:pt idx="0">
                  <c:v>0.97899975138415352</c:v>
                </c:pt>
                <c:pt idx="1">
                  <c:v>0.97877793781798861</c:v>
                </c:pt>
                <c:pt idx="2">
                  <c:v>0.90485148676348259</c:v>
                </c:pt>
                <c:pt idx="3">
                  <c:v>0.94669846694549431</c:v>
                </c:pt>
                <c:pt idx="4">
                  <c:v>0.40411350294315956</c:v>
                </c:pt>
                <c:pt idx="5">
                  <c:v>0.29571636011616653</c:v>
                </c:pt>
                <c:pt idx="6">
                  <c:v>0.41680273014582736</c:v>
                </c:pt>
                <c:pt idx="7">
                  <c:v>0.51013265938277852</c:v>
                </c:pt>
                <c:pt idx="8">
                  <c:v>0.51477384722023944</c:v>
                </c:pt>
                <c:pt idx="9">
                  <c:v>0.90323831992114978</c:v>
                </c:pt>
                <c:pt idx="10">
                  <c:v>0.92395833736216559</c:v>
                </c:pt>
                <c:pt idx="11">
                  <c:v>0.93090200522380839</c:v>
                </c:pt>
              </c:numCache>
            </c:numRef>
          </c:val>
        </c:ser>
        <c:ser>
          <c:idx val="1"/>
          <c:order val="1"/>
          <c:tx>
            <c:strRef>
              <c:f>'GAS '!$A$95</c:f>
              <c:strCache>
                <c:ptCount val="1"/>
                <c:pt idx="0">
                  <c:v>HEDGED TOTAL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'!$C$98:$N$98</c:f>
              <c:numCache>
                <c:formatCode>0%</c:formatCode>
                <c:ptCount val="12"/>
                <c:pt idx="0">
                  <c:v>2.1000248615846515E-2</c:v>
                </c:pt>
                <c:pt idx="1">
                  <c:v>2.1222062182011357E-2</c:v>
                </c:pt>
                <c:pt idx="2">
                  <c:v>9.5148513236517462E-2</c:v>
                </c:pt>
                <c:pt idx="3">
                  <c:v>2.8914997369667982E-2</c:v>
                </c:pt>
                <c:pt idx="4">
                  <c:v>0.28670348334845941</c:v>
                </c:pt>
                <c:pt idx="5">
                  <c:v>0.18756050338818975</c:v>
                </c:pt>
                <c:pt idx="6">
                  <c:v>0.18706295203635834</c:v>
                </c:pt>
                <c:pt idx="7">
                  <c:v>0.26726474851865129</c:v>
                </c:pt>
                <c:pt idx="8">
                  <c:v>0.38656757235564559</c:v>
                </c:pt>
                <c:pt idx="9">
                  <c:v>0</c:v>
                </c:pt>
                <c:pt idx="10">
                  <c:v>5.994902399121263E-2</c:v>
                </c:pt>
                <c:pt idx="11">
                  <c:v>6.9097994776191593E-2</c:v>
                </c:pt>
              </c:numCache>
            </c:numRef>
          </c:val>
        </c:ser>
        <c:ser>
          <c:idx val="2"/>
          <c:order val="2"/>
          <c:tx>
            <c:strRef>
              <c:f>'GAS '!$A$99</c:f>
              <c:strCache>
                <c:ptCount val="1"/>
                <c:pt idx="0">
                  <c:v>DAILY INDEX TOTAL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'GAS '!$C$106:$N$106</c:f>
              <c:numCache>
                <c:formatCode>0%</c:formatCode>
                <c:ptCount val="12"/>
                <c:pt idx="3">
                  <c:v>2.4386535684837722E-2</c:v>
                </c:pt>
                <c:pt idx="4">
                  <c:v>0.30918301370838103</c:v>
                </c:pt>
                <c:pt idx="5">
                  <c:v>0.51672313649564372</c:v>
                </c:pt>
                <c:pt idx="6">
                  <c:v>0.39613431781781433</c:v>
                </c:pt>
                <c:pt idx="7">
                  <c:v>0.2226025920985702</c:v>
                </c:pt>
                <c:pt idx="8">
                  <c:v>9.8658580424114933E-2</c:v>
                </c:pt>
                <c:pt idx="9">
                  <c:v>9.6761680078850179E-2</c:v>
                </c:pt>
                <c:pt idx="10">
                  <c:v>1.6092638646621776E-2</c:v>
                </c:pt>
                <c:pt idx="11">
                  <c:v>0</c:v>
                </c:pt>
              </c:numCache>
            </c:numRef>
          </c:val>
        </c:ser>
        <c:overlap val="100"/>
        <c:axId val="225505664"/>
        <c:axId val="225507200"/>
      </c:barChart>
      <c:dateAx>
        <c:axId val="22550566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50720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507200"/>
        <c:scaling>
          <c:orientation val="minMax"/>
          <c:max val="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2976465078794608E-2"/>
              <c:y val="0.48240641297930165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50566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817538471591474"/>
          <c:y val="0.9545970711258267"/>
          <c:w val="0.56447732000304951"/>
          <c:h val="3.74574379615975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Pipeline Demand Costs</a:t>
            </a:r>
          </a:p>
        </c:rich>
      </c:tx>
      <c:layout>
        <c:manualLayout>
          <c:xMode val="edge"/>
          <c:yMode val="edge"/>
          <c:x val="0.40786487936095167"/>
          <c:y val="2.65735650968158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5582241443959386E-2"/>
          <c:y val="0.13007028537556101"/>
          <c:w val="0.88126578351752749"/>
          <c:h val="0.75664542352882214"/>
        </c:manualLayout>
      </c:layout>
      <c:barChart>
        <c:barDir val="col"/>
        <c:grouping val="stacked"/>
        <c:ser>
          <c:idx val="1"/>
          <c:order val="0"/>
          <c:tx>
            <c:strRef>
              <c:f>DEMAND!$A$112</c:f>
              <c:strCache>
                <c:ptCount val="1"/>
                <c:pt idx="0">
                  <c:v>COL GULF</c:v>
                </c:pt>
              </c:strCache>
            </c:strRef>
          </c:tx>
          <c:spPr>
            <a:solidFill>
              <a:srgbClr val="80206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DEMAND!$B$112:$M$112</c:f>
              <c:numCache>
                <c:formatCode>"$"#,##0</c:formatCode>
                <c:ptCount val="12"/>
                <c:pt idx="0">
                  <c:v>163810.47</c:v>
                </c:pt>
                <c:pt idx="1">
                  <c:v>163810.47</c:v>
                </c:pt>
                <c:pt idx="2">
                  <c:v>163810.47</c:v>
                </c:pt>
                <c:pt idx="3">
                  <c:v>163810.47</c:v>
                </c:pt>
                <c:pt idx="4">
                  <c:v>163810.47</c:v>
                </c:pt>
                <c:pt idx="5">
                  <c:v>163810.47</c:v>
                </c:pt>
                <c:pt idx="6">
                  <c:v>163810.47</c:v>
                </c:pt>
                <c:pt idx="7">
                  <c:v>163810.47</c:v>
                </c:pt>
                <c:pt idx="8">
                  <c:v>163810.47</c:v>
                </c:pt>
                <c:pt idx="9">
                  <c:v>163810.47</c:v>
                </c:pt>
                <c:pt idx="10">
                  <c:v>286051.10340000002</c:v>
                </c:pt>
                <c:pt idx="11">
                  <c:v>286051.10340000002</c:v>
                </c:pt>
              </c:numCache>
            </c:numRef>
          </c:val>
        </c:ser>
        <c:ser>
          <c:idx val="0"/>
          <c:order val="1"/>
          <c:tx>
            <c:strRef>
              <c:f>DEMAND!$A$111</c:f>
              <c:strCache>
                <c:ptCount val="1"/>
                <c:pt idx="0">
                  <c:v>COL GAS (INCLUDES UDI)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DEMAND!$B$111:$M$111</c:f>
              <c:numCache>
                <c:formatCode>"$"#,##0</c:formatCode>
                <c:ptCount val="12"/>
                <c:pt idx="0">
                  <c:v>682885.42290000001</c:v>
                </c:pt>
                <c:pt idx="1">
                  <c:v>682885.42290000001</c:v>
                </c:pt>
                <c:pt idx="2">
                  <c:v>682885.42290000001</c:v>
                </c:pt>
                <c:pt idx="3">
                  <c:v>821396.05539999995</c:v>
                </c:pt>
                <c:pt idx="4">
                  <c:v>821396.05539999995</c:v>
                </c:pt>
                <c:pt idx="5">
                  <c:v>821396.05539999995</c:v>
                </c:pt>
                <c:pt idx="6">
                  <c:v>821396.05539999995</c:v>
                </c:pt>
                <c:pt idx="7">
                  <c:v>820761.79039999994</c:v>
                </c:pt>
                <c:pt idx="8">
                  <c:v>820761.79039999994</c:v>
                </c:pt>
                <c:pt idx="9">
                  <c:v>686956.4683999999</c:v>
                </c:pt>
                <c:pt idx="10">
                  <c:v>686956.4683999999</c:v>
                </c:pt>
                <c:pt idx="11">
                  <c:v>686956.4683999999</c:v>
                </c:pt>
              </c:numCache>
            </c:numRef>
          </c:val>
        </c:ser>
        <c:ser>
          <c:idx val="3"/>
          <c:order val="2"/>
          <c:tx>
            <c:strRef>
              <c:f>DEMAND!$A$114</c:f>
              <c:strCache>
                <c:ptCount val="1"/>
                <c:pt idx="0">
                  <c:v>TRANSCO</c:v>
                </c:pt>
              </c:strCache>
            </c:strRef>
          </c:tx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DEMAND!$B$114:$M$114</c:f>
              <c:numCache>
                <c:formatCode>"$"#,##0</c:formatCode>
                <c:ptCount val="12"/>
                <c:pt idx="0">
                  <c:v>124492.90277999999</c:v>
                </c:pt>
                <c:pt idx="1">
                  <c:v>124492.90277999999</c:v>
                </c:pt>
                <c:pt idx="2">
                  <c:v>120477.00139999999</c:v>
                </c:pt>
                <c:pt idx="3">
                  <c:v>124492.78277999999</c:v>
                </c:pt>
                <c:pt idx="4">
                  <c:v>120477.00140000001</c:v>
                </c:pt>
                <c:pt idx="5">
                  <c:v>124492.89278000002</c:v>
                </c:pt>
                <c:pt idx="6">
                  <c:v>124492.89278000002</c:v>
                </c:pt>
                <c:pt idx="7">
                  <c:v>112445.23864</c:v>
                </c:pt>
                <c:pt idx="8">
                  <c:v>124492.90278</c:v>
                </c:pt>
                <c:pt idx="9">
                  <c:v>121331.996</c:v>
                </c:pt>
                <c:pt idx="10">
                  <c:v>125377.02225000001</c:v>
                </c:pt>
                <c:pt idx="11">
                  <c:v>121332.5925</c:v>
                </c:pt>
              </c:numCache>
            </c:numRef>
          </c:val>
        </c:ser>
        <c:ser>
          <c:idx val="5"/>
          <c:order val="3"/>
          <c:tx>
            <c:strRef>
              <c:f>DEMAND!#REF!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4"/>
          <c:tx>
            <c:strRef>
              <c:f>DEMAND!$A$113</c:f>
              <c:strCache>
                <c:ptCount val="1"/>
                <c:pt idx="0">
                  <c:v>DTI</c:v>
                </c:pt>
              </c:strCache>
            </c:strRef>
          </c:tx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DEMAND!$B$113:$M$113</c:f>
              <c:numCache>
                <c:formatCode>"$"#,##0</c:formatCode>
                <c:ptCount val="12"/>
                <c:pt idx="0">
                  <c:v>550279.17070000002</c:v>
                </c:pt>
                <c:pt idx="1">
                  <c:v>550279.17070000002</c:v>
                </c:pt>
                <c:pt idx="2">
                  <c:v>550279.17070000002</c:v>
                </c:pt>
                <c:pt idx="3">
                  <c:v>550279.17070000002</c:v>
                </c:pt>
                <c:pt idx="4">
                  <c:v>595479.23869999999</c:v>
                </c:pt>
                <c:pt idx="5">
                  <c:v>595479.23869999999</c:v>
                </c:pt>
                <c:pt idx="6">
                  <c:v>595479.23869999999</c:v>
                </c:pt>
                <c:pt idx="7">
                  <c:v>595479.23869999999</c:v>
                </c:pt>
                <c:pt idx="8">
                  <c:v>595479.23869999999</c:v>
                </c:pt>
                <c:pt idx="9">
                  <c:v>548329.34369999997</c:v>
                </c:pt>
                <c:pt idx="10">
                  <c:v>548329.34369999997</c:v>
                </c:pt>
                <c:pt idx="11">
                  <c:v>548329.34369999997</c:v>
                </c:pt>
              </c:numCache>
            </c:numRef>
          </c:val>
        </c:ser>
        <c:ser>
          <c:idx val="6"/>
          <c:order val="5"/>
          <c:tx>
            <c:strRef>
              <c:f>DEMAND!$A$115</c:f>
              <c:strCache>
                <c:ptCount val="1"/>
                <c:pt idx="0">
                  <c:v>VNG</c:v>
                </c:pt>
              </c:strCache>
            </c:strRef>
          </c:tx>
          <c:spPr>
            <a:solidFill>
              <a:srgbClr val="0080C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DEMAND!$B$115:$M$115</c:f>
              <c:numCache>
                <c:formatCode>"$"#,##0</c:formatCode>
                <c:ptCount val="12"/>
                <c:pt idx="0">
                  <c:v>73578.508149000001</c:v>
                </c:pt>
                <c:pt idx="1">
                  <c:v>66225.529160000006</c:v>
                </c:pt>
                <c:pt idx="2">
                  <c:v>62691.828282999995</c:v>
                </c:pt>
                <c:pt idx="3">
                  <c:v>121007.641756</c:v>
                </c:pt>
                <c:pt idx="4">
                  <c:v>72271.654347000003</c:v>
                </c:pt>
                <c:pt idx="5">
                  <c:v>63239.278158000001</c:v>
                </c:pt>
                <c:pt idx="6">
                  <c:v>72692.684642000007</c:v>
                </c:pt>
                <c:pt idx="7">
                  <c:v>61079.699695000003</c:v>
                </c:pt>
                <c:pt idx="8">
                  <c:v>64021.257140000002</c:v>
                </c:pt>
                <c:pt idx="9">
                  <c:v>64106.972569999998</c:v>
                </c:pt>
                <c:pt idx="10">
                  <c:v>71878.525561999995</c:v>
                </c:pt>
                <c:pt idx="11">
                  <c:v>69972.864227999991</c:v>
                </c:pt>
              </c:numCache>
            </c:numRef>
          </c:val>
        </c:ser>
        <c:overlap val="100"/>
        <c:axId val="225929472"/>
        <c:axId val="225947648"/>
      </c:barChart>
      <c:dateAx>
        <c:axId val="22592947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94764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59476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592947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529724868307233"/>
          <c:y val="0.95245008742558102"/>
          <c:w val="0.46106467460798517"/>
          <c:h val="3.77623624332880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Pipeline Demand Costs by Type</a:t>
            </a:r>
          </a:p>
        </c:rich>
      </c:tx>
      <c:layout>
        <c:manualLayout>
          <c:xMode val="edge"/>
          <c:yMode val="edge"/>
          <c:x val="0.40344082285222632"/>
          <c:y val="2.58065060902240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711509711428777"/>
          <c:y val="0.11741965075516821"/>
          <c:w val="0.85535705286884511"/>
          <c:h val="0.76387289282483994"/>
        </c:manualLayout>
      </c:layout>
      <c:barChart>
        <c:barDir val="col"/>
        <c:grouping val="stacked"/>
        <c:ser>
          <c:idx val="0"/>
          <c:order val="0"/>
          <c:tx>
            <c:strRef>
              <c:f>DEMAND!$A$49</c:f>
              <c:strCache>
                <c:ptCount val="1"/>
                <c:pt idx="0">
                  <c:v>TOTAL FT DEMAND COSTS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DEMAND!$B$49:$M$49</c:f>
              <c:numCache>
                <c:formatCode>"$"#,##0_);\("$"#,##0\)</c:formatCode>
                <c:ptCount val="12"/>
                <c:pt idx="0">
                  <c:v>1008977.9953290001</c:v>
                </c:pt>
                <c:pt idx="1">
                  <c:v>1001625.0163400001</c:v>
                </c:pt>
                <c:pt idx="2">
                  <c:v>994075.41408299992</c:v>
                </c:pt>
                <c:pt idx="3">
                  <c:v>1056407.0089359998</c:v>
                </c:pt>
                <c:pt idx="4">
                  <c:v>1002109.155747</c:v>
                </c:pt>
                <c:pt idx="5">
                  <c:v>997092.67093800008</c:v>
                </c:pt>
                <c:pt idx="6">
                  <c:v>1006546.0774220001</c:v>
                </c:pt>
                <c:pt idx="7">
                  <c:v>982579.56433499989</c:v>
                </c:pt>
                <c:pt idx="8">
                  <c:v>997568.78591999994</c:v>
                </c:pt>
                <c:pt idx="9">
                  <c:v>991078.00156999996</c:v>
                </c:pt>
                <c:pt idx="10">
                  <c:v>1120888.4142120001</c:v>
                </c:pt>
                <c:pt idx="11">
                  <c:v>1119185.1231279999</c:v>
                </c:pt>
              </c:numCache>
            </c:numRef>
          </c:val>
        </c:ser>
        <c:ser>
          <c:idx val="1"/>
          <c:order val="1"/>
          <c:tx>
            <c:strRef>
              <c:f>DEMAND!$A$89</c:f>
              <c:strCache>
                <c:ptCount val="1"/>
                <c:pt idx="0">
                  <c:v>TOTAL STORAGE DEMAND &amp; CAPACITY COSTS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DEMAND!$B$89:$M$89</c:f>
              <c:numCache>
                <c:formatCode>"$"#,##0_);\("$"#,##0\)</c:formatCode>
                <c:ptCount val="12"/>
                <c:pt idx="0">
                  <c:v>234018.34669999999</c:v>
                </c:pt>
                <c:pt idx="1">
                  <c:v>234018.34669999999</c:v>
                </c:pt>
                <c:pt idx="2">
                  <c:v>234018.34669999999</c:v>
                </c:pt>
                <c:pt idx="3">
                  <c:v>234018.34669999999</c:v>
                </c:pt>
                <c:pt idx="4">
                  <c:v>234386.6041</c:v>
                </c:pt>
                <c:pt idx="5">
                  <c:v>234386.6041</c:v>
                </c:pt>
                <c:pt idx="6">
                  <c:v>234386.6041</c:v>
                </c:pt>
                <c:pt idx="7">
                  <c:v>234339.6911</c:v>
                </c:pt>
                <c:pt idx="8">
                  <c:v>234339.6911</c:v>
                </c:pt>
                <c:pt idx="9">
                  <c:v>234339.6911</c:v>
                </c:pt>
                <c:pt idx="10">
                  <c:v>234339.6911</c:v>
                </c:pt>
                <c:pt idx="11">
                  <c:v>234339.6911</c:v>
                </c:pt>
              </c:numCache>
            </c:numRef>
          </c:val>
        </c:ser>
        <c:ser>
          <c:idx val="2"/>
          <c:order val="2"/>
          <c:tx>
            <c:strRef>
              <c:f>DEMAND!$A$106</c:f>
              <c:strCache>
                <c:ptCount val="1"/>
                <c:pt idx="0">
                  <c:v>TOTAL LNG DEMAND &amp; CAPACITY COSTS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40360</c:v>
                </c:pt>
                <c:pt idx="1">
                  <c:v>40391</c:v>
                </c:pt>
                <c:pt idx="2">
                  <c:v>40422</c:v>
                </c:pt>
                <c:pt idx="3">
                  <c:v>40452</c:v>
                </c:pt>
                <c:pt idx="4">
                  <c:v>40483</c:v>
                </c:pt>
                <c:pt idx="5">
                  <c:v>40513</c:v>
                </c:pt>
                <c:pt idx="6">
                  <c:v>40544</c:v>
                </c:pt>
                <c:pt idx="7">
                  <c:v>40575</c:v>
                </c:pt>
                <c:pt idx="8">
                  <c:v>40603</c:v>
                </c:pt>
                <c:pt idx="9">
                  <c:v>40634</c:v>
                </c:pt>
                <c:pt idx="10">
                  <c:v>40664</c:v>
                </c:pt>
                <c:pt idx="11">
                  <c:v>40695</c:v>
                </c:pt>
              </c:numCache>
            </c:numRef>
          </c:cat>
          <c:val>
            <c:numRef>
              <c:f>DEMAND!$B$106:$M$106</c:f>
              <c:numCache>
                <c:formatCode>"$"#,##0_);\("$"#,##0\)</c:formatCode>
                <c:ptCount val="12"/>
                <c:pt idx="0">
                  <c:v>70267.5</c:v>
                </c:pt>
                <c:pt idx="1">
                  <c:v>70267.5</c:v>
                </c:pt>
                <c:pt idx="2">
                  <c:v>70267.5</c:v>
                </c:pt>
                <c:pt idx="3">
                  <c:v>70267.5</c:v>
                </c:pt>
                <c:pt idx="4">
                  <c:v>70267.5</c:v>
                </c:pt>
                <c:pt idx="5">
                  <c:v>70267.5</c:v>
                </c:pt>
                <c:pt idx="6">
                  <c:v>70267.5</c:v>
                </c:pt>
                <c:pt idx="7">
                  <c:v>70267.5</c:v>
                </c:pt>
                <c:pt idx="8">
                  <c:v>70267.5</c:v>
                </c:pt>
                <c:pt idx="9">
                  <c:v>79819.25</c:v>
                </c:pt>
                <c:pt idx="10">
                  <c:v>79819.25</c:v>
                </c:pt>
                <c:pt idx="11">
                  <c:v>79819.25</c:v>
                </c:pt>
              </c:numCache>
            </c:numRef>
          </c:val>
        </c:ser>
        <c:overlap val="100"/>
        <c:axId val="226108544"/>
        <c:axId val="226110080"/>
      </c:barChart>
      <c:dateAx>
        <c:axId val="22610854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11008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2261100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#,##0_);\(&quot;$&quot;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61085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4.5347960346564284E-2"/>
          <c:y val="0.95226052507511627"/>
          <c:w val="0.90852366858398015"/>
          <c:h val="3.870975913533587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33" r="0.75000000000000633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5" Type="http://schemas.openxmlformats.org/officeDocument/2006/relationships/chart" Target="../charts/chart45.xml"/><Relationship Id="rId4" Type="http://schemas.openxmlformats.org/officeDocument/2006/relationships/chart" Target="../charts/chart4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3.xml"/><Relationship Id="rId13" Type="http://schemas.openxmlformats.org/officeDocument/2006/relationships/chart" Target="../charts/chart58.xml"/><Relationship Id="rId18" Type="http://schemas.openxmlformats.org/officeDocument/2006/relationships/chart" Target="../charts/chart63.xml"/><Relationship Id="rId26" Type="http://schemas.openxmlformats.org/officeDocument/2006/relationships/chart" Target="../charts/chart71.xml"/><Relationship Id="rId3" Type="http://schemas.openxmlformats.org/officeDocument/2006/relationships/chart" Target="../charts/chart48.xml"/><Relationship Id="rId21" Type="http://schemas.openxmlformats.org/officeDocument/2006/relationships/chart" Target="../charts/chart66.xml"/><Relationship Id="rId7" Type="http://schemas.openxmlformats.org/officeDocument/2006/relationships/chart" Target="../charts/chart52.xml"/><Relationship Id="rId12" Type="http://schemas.openxmlformats.org/officeDocument/2006/relationships/chart" Target="../charts/chart57.xml"/><Relationship Id="rId17" Type="http://schemas.openxmlformats.org/officeDocument/2006/relationships/chart" Target="../charts/chart62.xml"/><Relationship Id="rId25" Type="http://schemas.openxmlformats.org/officeDocument/2006/relationships/chart" Target="../charts/chart70.xml"/><Relationship Id="rId33" Type="http://schemas.openxmlformats.org/officeDocument/2006/relationships/chart" Target="../charts/chart78.xml"/><Relationship Id="rId2" Type="http://schemas.openxmlformats.org/officeDocument/2006/relationships/chart" Target="../charts/chart47.xml"/><Relationship Id="rId16" Type="http://schemas.openxmlformats.org/officeDocument/2006/relationships/chart" Target="../charts/chart61.xml"/><Relationship Id="rId20" Type="http://schemas.openxmlformats.org/officeDocument/2006/relationships/chart" Target="../charts/chart65.xml"/><Relationship Id="rId29" Type="http://schemas.openxmlformats.org/officeDocument/2006/relationships/chart" Target="../charts/chart74.xml"/><Relationship Id="rId1" Type="http://schemas.openxmlformats.org/officeDocument/2006/relationships/chart" Target="../charts/chart46.xml"/><Relationship Id="rId6" Type="http://schemas.openxmlformats.org/officeDocument/2006/relationships/chart" Target="../charts/chart51.xml"/><Relationship Id="rId11" Type="http://schemas.openxmlformats.org/officeDocument/2006/relationships/chart" Target="../charts/chart56.xml"/><Relationship Id="rId24" Type="http://schemas.openxmlformats.org/officeDocument/2006/relationships/chart" Target="../charts/chart69.xml"/><Relationship Id="rId32" Type="http://schemas.openxmlformats.org/officeDocument/2006/relationships/chart" Target="../charts/chart77.xml"/><Relationship Id="rId5" Type="http://schemas.openxmlformats.org/officeDocument/2006/relationships/chart" Target="../charts/chart50.xml"/><Relationship Id="rId15" Type="http://schemas.openxmlformats.org/officeDocument/2006/relationships/chart" Target="../charts/chart60.xml"/><Relationship Id="rId23" Type="http://schemas.openxmlformats.org/officeDocument/2006/relationships/chart" Target="../charts/chart68.xml"/><Relationship Id="rId28" Type="http://schemas.openxmlformats.org/officeDocument/2006/relationships/chart" Target="../charts/chart73.xml"/><Relationship Id="rId10" Type="http://schemas.openxmlformats.org/officeDocument/2006/relationships/chart" Target="../charts/chart55.xml"/><Relationship Id="rId19" Type="http://schemas.openxmlformats.org/officeDocument/2006/relationships/chart" Target="../charts/chart64.xml"/><Relationship Id="rId31" Type="http://schemas.openxmlformats.org/officeDocument/2006/relationships/chart" Target="../charts/chart76.xml"/><Relationship Id="rId4" Type="http://schemas.openxmlformats.org/officeDocument/2006/relationships/chart" Target="../charts/chart49.xml"/><Relationship Id="rId9" Type="http://schemas.openxmlformats.org/officeDocument/2006/relationships/chart" Target="../charts/chart54.xml"/><Relationship Id="rId14" Type="http://schemas.openxmlformats.org/officeDocument/2006/relationships/chart" Target="../charts/chart59.xml"/><Relationship Id="rId22" Type="http://schemas.openxmlformats.org/officeDocument/2006/relationships/chart" Target="../charts/chart67.xml"/><Relationship Id="rId27" Type="http://schemas.openxmlformats.org/officeDocument/2006/relationships/chart" Target="../charts/chart72.xml"/><Relationship Id="rId30" Type="http://schemas.openxmlformats.org/officeDocument/2006/relationships/chart" Target="../charts/chart7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2.xml"/><Relationship Id="rId2" Type="http://schemas.openxmlformats.org/officeDocument/2006/relationships/chart" Target="../charts/chart81.xml"/><Relationship Id="rId1" Type="http://schemas.openxmlformats.org/officeDocument/2006/relationships/chart" Target="../charts/chart80.xml"/><Relationship Id="rId4" Type="http://schemas.openxmlformats.org/officeDocument/2006/relationships/chart" Target="../charts/chart83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5.xml"/><Relationship Id="rId1" Type="http://schemas.openxmlformats.org/officeDocument/2006/relationships/chart" Target="../charts/chart8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28</xdr:row>
      <xdr:rowOff>38100</xdr:rowOff>
    </xdr:from>
    <xdr:to>
      <xdr:col>11</xdr:col>
      <xdr:colOff>590550</xdr:colOff>
      <xdr:row>29</xdr:row>
      <xdr:rowOff>66675</xdr:rowOff>
    </xdr:to>
    <xdr:sp macro="" textlink="">
      <xdr:nvSpPr>
        <xdr:cNvPr id="10369" name="Text Box 2"/>
        <xdr:cNvSpPr txBox="1">
          <a:spLocks noChangeArrowheads="1"/>
        </xdr:cNvSpPr>
      </xdr:nvSpPr>
      <xdr:spPr bwMode="auto">
        <a:xfrm>
          <a:off x="10820400" y="7239000"/>
          <a:ext cx="133350" cy="285750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69</xdr:row>
      <xdr:rowOff>0</xdr:rowOff>
    </xdr:from>
    <xdr:to>
      <xdr:col>0</xdr:col>
      <xdr:colOff>0</xdr:colOff>
      <xdr:row>87</xdr:row>
      <xdr:rowOff>180975</xdr:rowOff>
    </xdr:to>
    <xdr:graphicFrame macro="">
      <xdr:nvGraphicFramePr>
        <xdr:cNvPr id="92995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93</xdr:row>
      <xdr:rowOff>28575</xdr:rowOff>
    </xdr:from>
    <xdr:to>
      <xdr:col>0</xdr:col>
      <xdr:colOff>0</xdr:colOff>
      <xdr:row>109</xdr:row>
      <xdr:rowOff>0</xdr:rowOff>
    </xdr:to>
    <xdr:graphicFrame macro="">
      <xdr:nvGraphicFramePr>
        <xdr:cNvPr id="929954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31</xdr:row>
      <xdr:rowOff>180975</xdr:rowOff>
    </xdr:to>
    <xdr:graphicFrame macro="">
      <xdr:nvGraphicFramePr>
        <xdr:cNvPr id="9299548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115</xdr:row>
      <xdr:rowOff>9525</xdr:rowOff>
    </xdr:from>
    <xdr:to>
      <xdr:col>0</xdr:col>
      <xdr:colOff>0</xdr:colOff>
      <xdr:row>134</xdr:row>
      <xdr:rowOff>190500</xdr:rowOff>
    </xdr:to>
    <xdr:graphicFrame macro="">
      <xdr:nvGraphicFramePr>
        <xdr:cNvPr id="929954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31</xdr:row>
      <xdr:rowOff>190500</xdr:rowOff>
    </xdr:to>
    <xdr:graphicFrame macro="">
      <xdr:nvGraphicFramePr>
        <xdr:cNvPr id="929955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0</xdr:col>
      <xdr:colOff>0</xdr:colOff>
      <xdr:row>87</xdr:row>
      <xdr:rowOff>190500</xdr:rowOff>
    </xdr:to>
    <xdr:graphicFrame macro="">
      <xdr:nvGraphicFramePr>
        <xdr:cNvPr id="929955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93</xdr:row>
      <xdr:rowOff>0</xdr:rowOff>
    </xdr:from>
    <xdr:to>
      <xdr:col>0</xdr:col>
      <xdr:colOff>0</xdr:colOff>
      <xdr:row>108</xdr:row>
      <xdr:rowOff>180975</xdr:rowOff>
    </xdr:to>
    <xdr:graphicFrame macro="">
      <xdr:nvGraphicFramePr>
        <xdr:cNvPr id="929955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0</xdr:colOff>
      <xdr:row>134</xdr:row>
      <xdr:rowOff>190500</xdr:rowOff>
    </xdr:to>
    <xdr:graphicFrame macro="">
      <xdr:nvGraphicFramePr>
        <xdr:cNvPr id="929955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32</xdr:row>
      <xdr:rowOff>0</xdr:rowOff>
    </xdr:to>
    <xdr:graphicFrame macro="">
      <xdr:nvGraphicFramePr>
        <xdr:cNvPr id="929955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0</xdr:col>
      <xdr:colOff>0</xdr:colOff>
      <xdr:row>88</xdr:row>
      <xdr:rowOff>0</xdr:rowOff>
    </xdr:to>
    <xdr:graphicFrame macro="">
      <xdr:nvGraphicFramePr>
        <xdr:cNvPr id="929955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93</xdr:row>
      <xdr:rowOff>0</xdr:rowOff>
    </xdr:from>
    <xdr:to>
      <xdr:col>0</xdr:col>
      <xdr:colOff>0</xdr:colOff>
      <xdr:row>108</xdr:row>
      <xdr:rowOff>190500</xdr:rowOff>
    </xdr:to>
    <xdr:graphicFrame macro="">
      <xdr:nvGraphicFramePr>
        <xdr:cNvPr id="929955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115</xdr:row>
      <xdr:rowOff>76200</xdr:rowOff>
    </xdr:from>
    <xdr:to>
      <xdr:col>0</xdr:col>
      <xdr:colOff>0</xdr:colOff>
      <xdr:row>135</xdr:row>
      <xdr:rowOff>76200</xdr:rowOff>
    </xdr:to>
    <xdr:graphicFrame macro="">
      <xdr:nvGraphicFramePr>
        <xdr:cNvPr id="929955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138</xdr:row>
      <xdr:rowOff>171450</xdr:rowOff>
    </xdr:from>
    <xdr:to>
      <xdr:col>0</xdr:col>
      <xdr:colOff>0</xdr:colOff>
      <xdr:row>157</xdr:row>
      <xdr:rowOff>19050</xdr:rowOff>
    </xdr:to>
    <xdr:graphicFrame macro="">
      <xdr:nvGraphicFramePr>
        <xdr:cNvPr id="9299558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32</xdr:row>
      <xdr:rowOff>0</xdr:rowOff>
    </xdr:to>
    <xdr:graphicFrame macro="">
      <xdr:nvGraphicFramePr>
        <xdr:cNvPr id="9299559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0</xdr:col>
      <xdr:colOff>0</xdr:colOff>
      <xdr:row>88</xdr:row>
      <xdr:rowOff>0</xdr:rowOff>
    </xdr:to>
    <xdr:graphicFrame macro="">
      <xdr:nvGraphicFramePr>
        <xdr:cNvPr id="9299560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93</xdr:row>
      <xdr:rowOff>0</xdr:rowOff>
    </xdr:from>
    <xdr:to>
      <xdr:col>0</xdr:col>
      <xdr:colOff>0</xdr:colOff>
      <xdr:row>108</xdr:row>
      <xdr:rowOff>190500</xdr:rowOff>
    </xdr:to>
    <xdr:graphicFrame macro="">
      <xdr:nvGraphicFramePr>
        <xdr:cNvPr id="9299561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0</xdr:colOff>
      <xdr:row>135</xdr:row>
      <xdr:rowOff>0</xdr:rowOff>
    </xdr:to>
    <xdr:graphicFrame macro="">
      <xdr:nvGraphicFramePr>
        <xdr:cNvPr id="9299562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4</xdr:col>
      <xdr:colOff>400050</xdr:colOff>
      <xdr:row>88</xdr:row>
      <xdr:rowOff>0</xdr:rowOff>
    </xdr:to>
    <xdr:graphicFrame macro="">
      <xdr:nvGraphicFramePr>
        <xdr:cNvPr id="9299563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93</xdr:row>
      <xdr:rowOff>0</xdr:rowOff>
    </xdr:from>
    <xdr:to>
      <xdr:col>4</xdr:col>
      <xdr:colOff>438150</xdr:colOff>
      <xdr:row>108</xdr:row>
      <xdr:rowOff>190500</xdr:rowOff>
    </xdr:to>
    <xdr:graphicFrame macro="">
      <xdr:nvGraphicFramePr>
        <xdr:cNvPr id="9299564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115</xdr:row>
      <xdr:rowOff>0</xdr:rowOff>
    </xdr:from>
    <xdr:to>
      <xdr:col>4</xdr:col>
      <xdr:colOff>400050</xdr:colOff>
      <xdr:row>135</xdr:row>
      <xdr:rowOff>0</xdr:rowOff>
    </xdr:to>
    <xdr:graphicFrame macro="">
      <xdr:nvGraphicFramePr>
        <xdr:cNvPr id="9299565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23</xdr:col>
      <xdr:colOff>0</xdr:colOff>
      <xdr:row>13</xdr:row>
      <xdr:rowOff>0</xdr:rowOff>
    </xdr:from>
    <xdr:to>
      <xdr:col>31</xdr:col>
      <xdr:colOff>371475</xdr:colOff>
      <xdr:row>32</xdr:row>
      <xdr:rowOff>0</xdr:rowOff>
    </xdr:to>
    <xdr:graphicFrame macro="">
      <xdr:nvGraphicFramePr>
        <xdr:cNvPr id="9299566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23</xdr:col>
      <xdr:colOff>0</xdr:colOff>
      <xdr:row>69</xdr:row>
      <xdr:rowOff>0</xdr:rowOff>
    </xdr:from>
    <xdr:to>
      <xdr:col>31</xdr:col>
      <xdr:colOff>323850</xdr:colOff>
      <xdr:row>88</xdr:row>
      <xdr:rowOff>0</xdr:rowOff>
    </xdr:to>
    <xdr:graphicFrame macro="">
      <xdr:nvGraphicFramePr>
        <xdr:cNvPr id="929956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23</xdr:col>
      <xdr:colOff>0</xdr:colOff>
      <xdr:row>93</xdr:row>
      <xdr:rowOff>0</xdr:rowOff>
    </xdr:from>
    <xdr:to>
      <xdr:col>31</xdr:col>
      <xdr:colOff>609600</xdr:colOff>
      <xdr:row>108</xdr:row>
      <xdr:rowOff>190500</xdr:rowOff>
    </xdr:to>
    <xdr:graphicFrame macro="">
      <xdr:nvGraphicFramePr>
        <xdr:cNvPr id="9299568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23</xdr:col>
      <xdr:colOff>0</xdr:colOff>
      <xdr:row>115</xdr:row>
      <xdr:rowOff>0</xdr:rowOff>
    </xdr:from>
    <xdr:to>
      <xdr:col>29</xdr:col>
      <xdr:colOff>409575</xdr:colOff>
      <xdr:row>135</xdr:row>
      <xdr:rowOff>0</xdr:rowOff>
    </xdr:to>
    <xdr:graphicFrame macro="">
      <xdr:nvGraphicFramePr>
        <xdr:cNvPr id="9299569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0</xdr:colOff>
      <xdr:row>138</xdr:row>
      <xdr:rowOff>114300</xdr:rowOff>
    </xdr:to>
    <xdr:graphicFrame macro="">
      <xdr:nvGraphicFramePr>
        <xdr:cNvPr id="929957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39</xdr:col>
      <xdr:colOff>0</xdr:colOff>
      <xdr:row>13</xdr:row>
      <xdr:rowOff>0</xdr:rowOff>
    </xdr:from>
    <xdr:to>
      <xdr:col>47</xdr:col>
      <xdr:colOff>371475</xdr:colOff>
      <xdr:row>32</xdr:row>
      <xdr:rowOff>0</xdr:rowOff>
    </xdr:to>
    <xdr:graphicFrame macro="">
      <xdr:nvGraphicFramePr>
        <xdr:cNvPr id="929957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39</xdr:col>
      <xdr:colOff>0</xdr:colOff>
      <xdr:row>69</xdr:row>
      <xdr:rowOff>0</xdr:rowOff>
    </xdr:from>
    <xdr:to>
      <xdr:col>47</xdr:col>
      <xdr:colOff>323850</xdr:colOff>
      <xdr:row>88</xdr:row>
      <xdr:rowOff>0</xdr:rowOff>
    </xdr:to>
    <xdr:graphicFrame macro="">
      <xdr:nvGraphicFramePr>
        <xdr:cNvPr id="929957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39</xdr:col>
      <xdr:colOff>0</xdr:colOff>
      <xdr:row>93</xdr:row>
      <xdr:rowOff>0</xdr:rowOff>
    </xdr:from>
    <xdr:to>
      <xdr:col>47</xdr:col>
      <xdr:colOff>609600</xdr:colOff>
      <xdr:row>108</xdr:row>
      <xdr:rowOff>190500</xdr:rowOff>
    </xdr:to>
    <xdr:graphicFrame macro="">
      <xdr:nvGraphicFramePr>
        <xdr:cNvPr id="929957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39</xdr:col>
      <xdr:colOff>0</xdr:colOff>
      <xdr:row>115</xdr:row>
      <xdr:rowOff>0</xdr:rowOff>
    </xdr:from>
    <xdr:to>
      <xdr:col>45</xdr:col>
      <xdr:colOff>409575</xdr:colOff>
      <xdr:row>135</xdr:row>
      <xdr:rowOff>0</xdr:rowOff>
    </xdr:to>
    <xdr:graphicFrame macro="">
      <xdr:nvGraphicFramePr>
        <xdr:cNvPr id="929957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37</xdr:row>
      <xdr:rowOff>95250</xdr:rowOff>
    </xdr:from>
    <xdr:to>
      <xdr:col>4</xdr:col>
      <xdr:colOff>609600</xdr:colOff>
      <xdr:row>55</xdr:row>
      <xdr:rowOff>209550</xdr:rowOff>
    </xdr:to>
    <xdr:graphicFrame macro="">
      <xdr:nvGraphicFramePr>
        <xdr:cNvPr id="929957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95250</xdr:colOff>
      <xdr:row>136</xdr:row>
      <xdr:rowOff>0</xdr:rowOff>
    </xdr:from>
    <xdr:to>
      <xdr:col>6</xdr:col>
      <xdr:colOff>533400</xdr:colOff>
      <xdr:row>136</xdr:row>
      <xdr:rowOff>0</xdr:rowOff>
    </xdr:to>
    <xdr:graphicFrame macro="">
      <xdr:nvGraphicFramePr>
        <xdr:cNvPr id="9299576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114300</xdr:colOff>
      <xdr:row>69</xdr:row>
      <xdr:rowOff>57150</xdr:rowOff>
    </xdr:from>
    <xdr:to>
      <xdr:col>13</xdr:col>
      <xdr:colOff>628650</xdr:colOff>
      <xdr:row>87</xdr:row>
      <xdr:rowOff>209550</xdr:rowOff>
    </xdr:to>
    <xdr:graphicFrame macro="">
      <xdr:nvGraphicFramePr>
        <xdr:cNvPr id="9299577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266700</xdr:colOff>
      <xdr:row>217</xdr:row>
      <xdr:rowOff>57150</xdr:rowOff>
    </xdr:from>
    <xdr:to>
      <xdr:col>6</xdr:col>
      <xdr:colOff>571500</xdr:colOff>
      <xdr:row>237</xdr:row>
      <xdr:rowOff>152400</xdr:rowOff>
    </xdr:to>
    <xdr:graphicFrame macro="">
      <xdr:nvGraphicFramePr>
        <xdr:cNvPr id="92995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285750</xdr:colOff>
      <xdr:row>12</xdr:row>
      <xdr:rowOff>190500</xdr:rowOff>
    </xdr:from>
    <xdr:to>
      <xdr:col>4</xdr:col>
      <xdr:colOff>533400</xdr:colOff>
      <xdr:row>32</xdr:row>
      <xdr:rowOff>38100</xdr:rowOff>
    </xdr:to>
    <xdr:graphicFrame macro="">
      <xdr:nvGraphicFramePr>
        <xdr:cNvPr id="92995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5</xdr:col>
      <xdr:colOff>38100</xdr:colOff>
      <xdr:row>12</xdr:row>
      <xdr:rowOff>190500</xdr:rowOff>
    </xdr:from>
    <xdr:to>
      <xdr:col>13</xdr:col>
      <xdr:colOff>533400</xdr:colOff>
      <xdr:row>32</xdr:row>
      <xdr:rowOff>38100</xdr:rowOff>
    </xdr:to>
    <xdr:graphicFrame macro="">
      <xdr:nvGraphicFramePr>
        <xdr:cNvPr id="92995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14</xdr:col>
      <xdr:colOff>209550</xdr:colOff>
      <xdr:row>12</xdr:row>
      <xdr:rowOff>228600</xdr:rowOff>
    </xdr:from>
    <xdr:to>
      <xdr:col>21</xdr:col>
      <xdr:colOff>85725</xdr:colOff>
      <xdr:row>32</xdr:row>
      <xdr:rowOff>76200</xdr:rowOff>
    </xdr:to>
    <xdr:graphicFrame macro="">
      <xdr:nvGraphicFramePr>
        <xdr:cNvPr id="9299581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14</xdr:col>
      <xdr:colOff>19050</xdr:colOff>
      <xdr:row>69</xdr:row>
      <xdr:rowOff>0</xdr:rowOff>
    </xdr:from>
    <xdr:to>
      <xdr:col>20</xdr:col>
      <xdr:colOff>1123950</xdr:colOff>
      <xdr:row>88</xdr:row>
      <xdr:rowOff>104775</xdr:rowOff>
    </xdr:to>
    <xdr:graphicFrame macro="">
      <xdr:nvGraphicFramePr>
        <xdr:cNvPr id="9299582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0</xdr:col>
      <xdr:colOff>190500</xdr:colOff>
      <xdr:row>139</xdr:row>
      <xdr:rowOff>247650</xdr:rowOff>
    </xdr:from>
    <xdr:to>
      <xdr:col>4</xdr:col>
      <xdr:colOff>381000</xdr:colOff>
      <xdr:row>160</xdr:row>
      <xdr:rowOff>0</xdr:rowOff>
    </xdr:to>
    <xdr:graphicFrame macro="">
      <xdr:nvGraphicFramePr>
        <xdr:cNvPr id="9299583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552450</xdr:colOff>
      <xdr:row>1</xdr:row>
      <xdr:rowOff>57150</xdr:rowOff>
    </xdr:from>
    <xdr:to>
      <xdr:col>20</xdr:col>
      <xdr:colOff>38100</xdr:colOff>
      <xdr:row>11</xdr:row>
      <xdr:rowOff>133350</xdr:rowOff>
    </xdr:to>
    <xdr:graphicFrame macro="">
      <xdr:nvGraphicFramePr>
        <xdr:cNvPr id="40" name="Chart 3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5</xdr:row>
      <xdr:rowOff>247650</xdr:rowOff>
    </xdr:from>
    <xdr:to>
      <xdr:col>6</xdr:col>
      <xdr:colOff>419100</xdr:colOff>
      <xdr:row>25</xdr:row>
      <xdr:rowOff>95250</xdr:rowOff>
    </xdr:to>
    <xdr:graphicFrame macro="">
      <xdr:nvGraphicFramePr>
        <xdr:cNvPr id="175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100</xdr:row>
      <xdr:rowOff>95250</xdr:rowOff>
    </xdr:from>
    <xdr:to>
      <xdr:col>9</xdr:col>
      <xdr:colOff>304800</xdr:colOff>
      <xdr:row>126</xdr:row>
      <xdr:rowOff>133350</xdr:rowOff>
    </xdr:to>
    <xdr:graphicFrame macro="">
      <xdr:nvGraphicFramePr>
        <xdr:cNvPr id="170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128</xdr:row>
      <xdr:rowOff>142875</xdr:rowOff>
    </xdr:from>
    <xdr:to>
      <xdr:col>9</xdr:col>
      <xdr:colOff>323850</xdr:colOff>
      <xdr:row>154</xdr:row>
      <xdr:rowOff>104775</xdr:rowOff>
    </xdr:to>
    <xdr:graphicFrame macro="">
      <xdr:nvGraphicFramePr>
        <xdr:cNvPr id="170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209550</xdr:colOff>
      <xdr:row>8</xdr:row>
      <xdr:rowOff>19050</xdr:rowOff>
    </xdr:from>
    <xdr:to>
      <xdr:col>9</xdr:col>
      <xdr:colOff>723900</xdr:colOff>
      <xdr:row>33</xdr:row>
      <xdr:rowOff>0</xdr:rowOff>
    </xdr:to>
    <xdr:graphicFrame macro="">
      <xdr:nvGraphicFramePr>
        <xdr:cNvPr id="170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266700</xdr:colOff>
      <xdr:row>38</xdr:row>
      <xdr:rowOff>38100</xdr:rowOff>
    </xdr:from>
    <xdr:to>
      <xdr:col>9</xdr:col>
      <xdr:colOff>552450</xdr:colOff>
      <xdr:row>63</xdr:row>
      <xdr:rowOff>171450</xdr:rowOff>
    </xdr:to>
    <xdr:graphicFrame macro="">
      <xdr:nvGraphicFramePr>
        <xdr:cNvPr id="170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495300</xdr:colOff>
      <xdr:row>68</xdr:row>
      <xdr:rowOff>19050</xdr:rowOff>
    </xdr:from>
    <xdr:to>
      <xdr:col>9</xdr:col>
      <xdr:colOff>76200</xdr:colOff>
      <xdr:row>94</xdr:row>
      <xdr:rowOff>228600</xdr:rowOff>
    </xdr:to>
    <xdr:graphicFrame macro="">
      <xdr:nvGraphicFramePr>
        <xdr:cNvPr id="17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152400</xdr:rowOff>
    </xdr:from>
    <xdr:to>
      <xdr:col>7</xdr:col>
      <xdr:colOff>57150</xdr:colOff>
      <xdr:row>28</xdr:row>
      <xdr:rowOff>0</xdr:rowOff>
    </xdr:to>
    <xdr:graphicFrame macro="">
      <xdr:nvGraphicFramePr>
        <xdr:cNvPr id="98686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33</xdr:row>
      <xdr:rowOff>0</xdr:rowOff>
    </xdr:from>
    <xdr:to>
      <xdr:col>7</xdr:col>
      <xdr:colOff>133350</xdr:colOff>
      <xdr:row>58</xdr:row>
      <xdr:rowOff>114300</xdr:rowOff>
    </xdr:to>
    <xdr:graphicFrame macro="">
      <xdr:nvGraphicFramePr>
        <xdr:cNvPr id="98686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63</xdr:row>
      <xdr:rowOff>57150</xdr:rowOff>
    </xdr:from>
    <xdr:to>
      <xdr:col>7</xdr:col>
      <xdr:colOff>57150</xdr:colOff>
      <xdr:row>88</xdr:row>
      <xdr:rowOff>133350</xdr:rowOff>
    </xdr:to>
    <xdr:graphicFrame macro="">
      <xdr:nvGraphicFramePr>
        <xdr:cNvPr id="986863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93</xdr:row>
      <xdr:rowOff>95250</xdr:rowOff>
    </xdr:from>
    <xdr:to>
      <xdr:col>7</xdr:col>
      <xdr:colOff>114300</xdr:colOff>
      <xdr:row>118</xdr:row>
      <xdr:rowOff>76200</xdr:rowOff>
    </xdr:to>
    <xdr:graphicFrame macro="">
      <xdr:nvGraphicFramePr>
        <xdr:cNvPr id="986863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123</xdr:row>
      <xdr:rowOff>38100</xdr:rowOff>
    </xdr:from>
    <xdr:to>
      <xdr:col>7</xdr:col>
      <xdr:colOff>38100</xdr:colOff>
      <xdr:row>148</xdr:row>
      <xdr:rowOff>95250</xdr:rowOff>
    </xdr:to>
    <xdr:graphicFrame macro="">
      <xdr:nvGraphicFramePr>
        <xdr:cNvPr id="986863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153</xdr:row>
      <xdr:rowOff>171450</xdr:rowOff>
    </xdr:from>
    <xdr:to>
      <xdr:col>6</xdr:col>
      <xdr:colOff>1028700</xdr:colOff>
      <xdr:row>178</xdr:row>
      <xdr:rowOff>57150</xdr:rowOff>
    </xdr:to>
    <xdr:graphicFrame macro="">
      <xdr:nvGraphicFramePr>
        <xdr:cNvPr id="986864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183</xdr:row>
      <xdr:rowOff>0</xdr:rowOff>
    </xdr:from>
    <xdr:to>
      <xdr:col>6</xdr:col>
      <xdr:colOff>971550</xdr:colOff>
      <xdr:row>208</xdr:row>
      <xdr:rowOff>152400</xdr:rowOff>
    </xdr:to>
    <xdr:graphicFrame macro="">
      <xdr:nvGraphicFramePr>
        <xdr:cNvPr id="986864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213</xdr:row>
      <xdr:rowOff>0</xdr:rowOff>
    </xdr:from>
    <xdr:to>
      <xdr:col>6</xdr:col>
      <xdr:colOff>914400</xdr:colOff>
      <xdr:row>238</xdr:row>
      <xdr:rowOff>190500</xdr:rowOff>
    </xdr:to>
    <xdr:graphicFrame macro="">
      <xdr:nvGraphicFramePr>
        <xdr:cNvPr id="986864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123</xdr:row>
      <xdr:rowOff>114300</xdr:rowOff>
    </xdr:from>
    <xdr:to>
      <xdr:col>16</xdr:col>
      <xdr:colOff>0</xdr:colOff>
      <xdr:row>148</xdr:row>
      <xdr:rowOff>133350</xdr:rowOff>
    </xdr:to>
    <xdr:graphicFrame macro="">
      <xdr:nvGraphicFramePr>
        <xdr:cNvPr id="986864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0</xdr:colOff>
      <xdr:row>4</xdr:row>
      <xdr:rowOff>152400</xdr:rowOff>
    </xdr:from>
    <xdr:to>
      <xdr:col>16</xdr:col>
      <xdr:colOff>0</xdr:colOff>
      <xdr:row>28</xdr:row>
      <xdr:rowOff>57150</xdr:rowOff>
    </xdr:to>
    <xdr:graphicFrame macro="">
      <xdr:nvGraphicFramePr>
        <xdr:cNvPr id="986864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0</xdr:colOff>
      <xdr:row>33</xdr:row>
      <xdr:rowOff>152400</xdr:rowOff>
    </xdr:from>
    <xdr:to>
      <xdr:col>16</xdr:col>
      <xdr:colOff>0</xdr:colOff>
      <xdr:row>58</xdr:row>
      <xdr:rowOff>114300</xdr:rowOff>
    </xdr:to>
    <xdr:graphicFrame macro="">
      <xdr:nvGraphicFramePr>
        <xdr:cNvPr id="986864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63</xdr:row>
      <xdr:rowOff>171450</xdr:rowOff>
    </xdr:from>
    <xdr:to>
      <xdr:col>16</xdr:col>
      <xdr:colOff>0</xdr:colOff>
      <xdr:row>88</xdr:row>
      <xdr:rowOff>152400</xdr:rowOff>
    </xdr:to>
    <xdr:graphicFrame macro="">
      <xdr:nvGraphicFramePr>
        <xdr:cNvPr id="986864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93</xdr:row>
      <xdr:rowOff>95250</xdr:rowOff>
    </xdr:from>
    <xdr:to>
      <xdr:col>16</xdr:col>
      <xdr:colOff>0</xdr:colOff>
      <xdr:row>118</xdr:row>
      <xdr:rowOff>38100</xdr:rowOff>
    </xdr:to>
    <xdr:graphicFrame macro="">
      <xdr:nvGraphicFramePr>
        <xdr:cNvPr id="986864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0</xdr:colOff>
      <xdr:row>154</xdr:row>
      <xdr:rowOff>95250</xdr:rowOff>
    </xdr:from>
    <xdr:to>
      <xdr:col>16</xdr:col>
      <xdr:colOff>0</xdr:colOff>
      <xdr:row>178</xdr:row>
      <xdr:rowOff>133350</xdr:rowOff>
    </xdr:to>
    <xdr:graphicFrame macro="">
      <xdr:nvGraphicFramePr>
        <xdr:cNvPr id="986864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0</xdr:colOff>
      <xdr:row>184</xdr:row>
      <xdr:rowOff>0</xdr:rowOff>
    </xdr:from>
    <xdr:to>
      <xdr:col>16</xdr:col>
      <xdr:colOff>0</xdr:colOff>
      <xdr:row>208</xdr:row>
      <xdr:rowOff>133350</xdr:rowOff>
    </xdr:to>
    <xdr:graphicFrame macro="">
      <xdr:nvGraphicFramePr>
        <xdr:cNvPr id="986864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213</xdr:row>
      <xdr:rowOff>171450</xdr:rowOff>
    </xdr:from>
    <xdr:to>
      <xdr:col>16</xdr:col>
      <xdr:colOff>0</xdr:colOff>
      <xdr:row>238</xdr:row>
      <xdr:rowOff>133350</xdr:rowOff>
    </xdr:to>
    <xdr:graphicFrame macro="">
      <xdr:nvGraphicFramePr>
        <xdr:cNvPr id="986865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243</xdr:row>
      <xdr:rowOff>152400</xdr:rowOff>
    </xdr:from>
    <xdr:to>
      <xdr:col>16</xdr:col>
      <xdr:colOff>0</xdr:colOff>
      <xdr:row>268</xdr:row>
      <xdr:rowOff>76200</xdr:rowOff>
    </xdr:to>
    <xdr:graphicFrame macro="">
      <xdr:nvGraphicFramePr>
        <xdr:cNvPr id="986865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243</xdr:row>
      <xdr:rowOff>0</xdr:rowOff>
    </xdr:from>
    <xdr:to>
      <xdr:col>6</xdr:col>
      <xdr:colOff>857250</xdr:colOff>
      <xdr:row>269</xdr:row>
      <xdr:rowOff>0</xdr:rowOff>
    </xdr:to>
    <xdr:graphicFrame macro="">
      <xdr:nvGraphicFramePr>
        <xdr:cNvPr id="986865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16</xdr:col>
      <xdr:colOff>0</xdr:colOff>
      <xdr:row>123</xdr:row>
      <xdr:rowOff>28575</xdr:rowOff>
    </xdr:from>
    <xdr:to>
      <xdr:col>16</xdr:col>
      <xdr:colOff>0</xdr:colOff>
      <xdr:row>148</xdr:row>
      <xdr:rowOff>133350</xdr:rowOff>
    </xdr:to>
    <xdr:graphicFrame macro="">
      <xdr:nvGraphicFramePr>
        <xdr:cNvPr id="9868653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4</xdr:row>
      <xdr:rowOff>0</xdr:rowOff>
    </xdr:from>
    <xdr:to>
      <xdr:col>16</xdr:col>
      <xdr:colOff>0</xdr:colOff>
      <xdr:row>28</xdr:row>
      <xdr:rowOff>57150</xdr:rowOff>
    </xdr:to>
    <xdr:graphicFrame macro="">
      <xdr:nvGraphicFramePr>
        <xdr:cNvPr id="9868654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58</xdr:row>
      <xdr:rowOff>114300</xdr:rowOff>
    </xdr:to>
    <xdr:graphicFrame macro="">
      <xdr:nvGraphicFramePr>
        <xdr:cNvPr id="9868655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88</xdr:row>
      <xdr:rowOff>152400</xdr:rowOff>
    </xdr:to>
    <xdr:graphicFrame macro="">
      <xdr:nvGraphicFramePr>
        <xdr:cNvPr id="9868656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16</xdr:col>
      <xdr:colOff>0</xdr:colOff>
      <xdr:row>93</xdr:row>
      <xdr:rowOff>95250</xdr:rowOff>
    </xdr:from>
    <xdr:to>
      <xdr:col>16</xdr:col>
      <xdr:colOff>0</xdr:colOff>
      <xdr:row>118</xdr:row>
      <xdr:rowOff>38100</xdr:rowOff>
    </xdr:to>
    <xdr:graphicFrame macro="">
      <xdr:nvGraphicFramePr>
        <xdr:cNvPr id="9868657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153</xdr:row>
      <xdr:rowOff>114300</xdr:rowOff>
    </xdr:from>
    <xdr:to>
      <xdr:col>16</xdr:col>
      <xdr:colOff>0</xdr:colOff>
      <xdr:row>178</xdr:row>
      <xdr:rowOff>133350</xdr:rowOff>
    </xdr:to>
    <xdr:graphicFrame macro="">
      <xdr:nvGraphicFramePr>
        <xdr:cNvPr id="9868658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183</xdr:row>
      <xdr:rowOff>0</xdr:rowOff>
    </xdr:from>
    <xdr:to>
      <xdr:col>16</xdr:col>
      <xdr:colOff>0</xdr:colOff>
      <xdr:row>208</xdr:row>
      <xdr:rowOff>133350</xdr:rowOff>
    </xdr:to>
    <xdr:graphicFrame macro="">
      <xdr:nvGraphicFramePr>
        <xdr:cNvPr id="9868659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0</xdr:colOff>
      <xdr:row>213</xdr:row>
      <xdr:rowOff>0</xdr:rowOff>
    </xdr:from>
    <xdr:to>
      <xdr:col>16</xdr:col>
      <xdr:colOff>0</xdr:colOff>
      <xdr:row>238</xdr:row>
      <xdr:rowOff>133350</xdr:rowOff>
    </xdr:to>
    <xdr:graphicFrame macro="">
      <xdr:nvGraphicFramePr>
        <xdr:cNvPr id="9868660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16</xdr:col>
      <xdr:colOff>0</xdr:colOff>
      <xdr:row>243</xdr:row>
      <xdr:rowOff>0</xdr:rowOff>
    </xdr:from>
    <xdr:to>
      <xdr:col>16</xdr:col>
      <xdr:colOff>0</xdr:colOff>
      <xdr:row>268</xdr:row>
      <xdr:rowOff>76200</xdr:rowOff>
    </xdr:to>
    <xdr:graphicFrame macro="">
      <xdr:nvGraphicFramePr>
        <xdr:cNvPr id="9868661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247650</xdr:colOff>
      <xdr:row>286</xdr:row>
      <xdr:rowOff>247650</xdr:rowOff>
    </xdr:from>
    <xdr:to>
      <xdr:col>6</xdr:col>
      <xdr:colOff>876300</xdr:colOff>
      <xdr:row>307</xdr:row>
      <xdr:rowOff>133350</xdr:rowOff>
    </xdr:to>
    <xdr:graphicFrame macro="">
      <xdr:nvGraphicFramePr>
        <xdr:cNvPr id="9868662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266700</xdr:colOff>
      <xdr:row>308</xdr:row>
      <xdr:rowOff>114300</xdr:rowOff>
    </xdr:from>
    <xdr:to>
      <xdr:col>6</xdr:col>
      <xdr:colOff>857250</xdr:colOff>
      <xdr:row>328</xdr:row>
      <xdr:rowOff>85725</xdr:rowOff>
    </xdr:to>
    <xdr:graphicFrame macro="">
      <xdr:nvGraphicFramePr>
        <xdr:cNvPr id="9868663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342900</xdr:colOff>
      <xdr:row>329</xdr:row>
      <xdr:rowOff>114300</xdr:rowOff>
    </xdr:from>
    <xdr:to>
      <xdr:col>6</xdr:col>
      <xdr:colOff>819150</xdr:colOff>
      <xdr:row>350</xdr:row>
      <xdr:rowOff>19050</xdr:rowOff>
    </xdr:to>
    <xdr:graphicFrame macro="">
      <xdr:nvGraphicFramePr>
        <xdr:cNvPr id="9868664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133350</xdr:colOff>
      <xdr:row>369</xdr:row>
      <xdr:rowOff>133350</xdr:rowOff>
    </xdr:from>
    <xdr:to>
      <xdr:col>5</xdr:col>
      <xdr:colOff>800100</xdr:colOff>
      <xdr:row>390</xdr:row>
      <xdr:rowOff>152400</xdr:rowOff>
    </xdr:to>
    <xdr:graphicFrame macro="">
      <xdr:nvGraphicFramePr>
        <xdr:cNvPr id="9868665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17</xdr:col>
      <xdr:colOff>38100</xdr:colOff>
      <xdr:row>0</xdr:row>
      <xdr:rowOff>152400</xdr:rowOff>
    </xdr:from>
    <xdr:to>
      <xdr:col>26</xdr:col>
      <xdr:colOff>704850</xdr:colOff>
      <xdr:row>19</xdr:row>
      <xdr:rowOff>190500</xdr:rowOff>
    </xdr:to>
    <xdr:graphicFrame macro="">
      <xdr:nvGraphicFramePr>
        <xdr:cNvPr id="9868666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17</xdr:col>
      <xdr:colOff>95250</xdr:colOff>
      <xdr:row>20</xdr:row>
      <xdr:rowOff>114300</xdr:rowOff>
    </xdr:from>
    <xdr:to>
      <xdr:col>26</xdr:col>
      <xdr:colOff>666750</xdr:colOff>
      <xdr:row>39</xdr:row>
      <xdr:rowOff>152400</xdr:rowOff>
    </xdr:to>
    <xdr:graphicFrame macro="">
      <xdr:nvGraphicFramePr>
        <xdr:cNvPr id="9868667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 editAs="oneCell">
    <xdr:from>
      <xdr:col>18</xdr:col>
      <xdr:colOff>685800</xdr:colOff>
      <xdr:row>18</xdr:row>
      <xdr:rowOff>114300</xdr:rowOff>
    </xdr:from>
    <xdr:to>
      <xdr:col>19</xdr:col>
      <xdr:colOff>57150</xdr:colOff>
      <xdr:row>19</xdr:row>
      <xdr:rowOff>142875</xdr:rowOff>
    </xdr:to>
    <xdr:sp macro="" textlink="">
      <xdr:nvSpPr>
        <xdr:cNvPr id="9868668" name="Text Box 48"/>
        <xdr:cNvSpPr txBox="1">
          <a:spLocks noChangeArrowheads="1"/>
        </xdr:cNvSpPr>
      </xdr:nvSpPr>
      <xdr:spPr bwMode="auto">
        <a:xfrm>
          <a:off x="21755100" y="4743450"/>
          <a:ext cx="133350" cy="285750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361950</xdr:colOff>
      <xdr:row>13</xdr:row>
      <xdr:rowOff>209550</xdr:rowOff>
    </xdr:from>
    <xdr:to>
      <xdr:col>26</xdr:col>
      <xdr:colOff>647700</xdr:colOff>
      <xdr:row>15</xdr:row>
      <xdr:rowOff>190500</xdr:rowOff>
    </xdr:to>
    <xdr:sp macro="" textlink="">
      <xdr:nvSpPr>
        <xdr:cNvPr id="19505" name="Text Box 49"/>
        <xdr:cNvSpPr txBox="1">
          <a:spLocks noChangeArrowheads="1"/>
        </xdr:cNvSpPr>
      </xdr:nvSpPr>
      <xdr:spPr bwMode="auto">
        <a:xfrm>
          <a:off x="26898600" y="3676650"/>
          <a:ext cx="1047750" cy="51435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Helv"/>
            </a:rPr>
            <a:t>Actual    7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Helv"/>
            </a:rPr>
            <a:t>Nrmlzd  -4% </a:t>
          </a: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twoCellAnchor>
  <xdr:twoCellAnchor>
    <xdr:from>
      <xdr:col>25</xdr:col>
      <xdr:colOff>400050</xdr:colOff>
      <xdr:row>28</xdr:row>
      <xdr:rowOff>209550</xdr:rowOff>
    </xdr:from>
    <xdr:to>
      <xdr:col>26</xdr:col>
      <xdr:colOff>495300</xdr:colOff>
      <xdr:row>30</xdr:row>
      <xdr:rowOff>228600</xdr:rowOff>
    </xdr:to>
    <xdr:sp macro="" textlink="">
      <xdr:nvSpPr>
        <xdr:cNvPr id="19506" name="Text Box 50"/>
        <xdr:cNvSpPr txBox="1">
          <a:spLocks noChangeArrowheads="1"/>
        </xdr:cNvSpPr>
      </xdr:nvSpPr>
      <xdr:spPr bwMode="auto">
        <a:xfrm>
          <a:off x="26936700" y="7677150"/>
          <a:ext cx="857250" cy="55245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Helv"/>
            </a:rPr>
            <a:t>Actuals 8%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Helv"/>
            </a:rPr>
            <a:t>Nrmlzd 6</a:t>
          </a:r>
        </a:p>
      </xdr:txBody>
    </xdr: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0.67403</cdr:x>
      <cdr:y>0.23285</cdr:y>
    </cdr:from>
    <cdr:to>
      <cdr:x>0.72319</cdr:x>
      <cdr:y>0.30531</cdr:y>
    </cdr:to>
    <cdr:sp macro="" textlink="">
      <cdr:nvSpPr>
        <cdr:cNvPr id="2048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7523" y="1564570"/>
          <a:ext cx="36056" cy="48586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Actuals             -6%</a:t>
          </a:r>
        </a:p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Normalized  -6%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0.67903</cdr:x>
      <cdr:y>0.26467</cdr:y>
    </cdr:from>
    <cdr:to>
      <cdr:x>0.72036</cdr:x>
      <cdr:y>0.34968</cdr:y>
    </cdr:to>
    <cdr:sp macro="" textlink="">
      <cdr:nvSpPr>
        <cdr:cNvPr id="2150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1192" y="1762824"/>
          <a:ext cx="30313" cy="56521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Actuals  2%</a:t>
          </a:r>
        </a:p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Normalized  2%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0.6712</cdr:x>
      <cdr:y>0.09699</cdr:y>
    </cdr:from>
    <cdr:to>
      <cdr:x>0.72036</cdr:x>
      <cdr:y>0.19682</cdr:y>
    </cdr:to>
    <cdr:sp macro="" textlink="">
      <cdr:nvSpPr>
        <cdr:cNvPr id="26625" name="Text Box 204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5448" y="660948"/>
          <a:ext cx="36057" cy="67701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Actuals             -14%</a:t>
          </a:r>
        </a:p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Normalized  -2%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0.68381</cdr:x>
      <cdr:y>0.23328</cdr:y>
    </cdr:from>
    <cdr:to>
      <cdr:x>0.72493</cdr:x>
      <cdr:y>0.32202</cdr:y>
    </cdr:to>
    <cdr:sp macro="" textlink="">
      <cdr:nvSpPr>
        <cdr:cNvPr id="27649" name="Text Box 204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4702" y="1594107"/>
          <a:ext cx="30154" cy="6052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Actuals -4%</a:t>
          </a:r>
        </a:p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Normalised  1%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221</xdr:row>
      <xdr:rowOff>247650</xdr:rowOff>
    </xdr:from>
    <xdr:to>
      <xdr:col>6</xdr:col>
      <xdr:colOff>685800</xdr:colOff>
      <xdr:row>242</xdr:row>
      <xdr:rowOff>209550</xdr:rowOff>
    </xdr:to>
    <xdr:graphicFrame macro="">
      <xdr:nvGraphicFramePr>
        <xdr:cNvPr id="5729" name="Chart 4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114300</xdr:colOff>
      <xdr:row>0</xdr:row>
      <xdr:rowOff>76200</xdr:rowOff>
    </xdr:from>
    <xdr:to>
      <xdr:col>76</xdr:col>
      <xdr:colOff>57150</xdr:colOff>
      <xdr:row>19</xdr:row>
      <xdr:rowOff>95250</xdr:rowOff>
    </xdr:to>
    <xdr:graphicFrame macro="">
      <xdr:nvGraphicFramePr>
        <xdr:cNvPr id="97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95250</xdr:colOff>
      <xdr:row>21</xdr:row>
      <xdr:rowOff>209550</xdr:rowOff>
    </xdr:from>
    <xdr:to>
      <xdr:col>76</xdr:col>
      <xdr:colOff>38100</xdr:colOff>
      <xdr:row>53</xdr:row>
      <xdr:rowOff>66675</xdr:rowOff>
    </xdr:to>
    <xdr:graphicFrame macro="">
      <xdr:nvGraphicFramePr>
        <xdr:cNvPr id="97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80</xdr:col>
      <xdr:colOff>19050</xdr:colOff>
      <xdr:row>0</xdr:row>
      <xdr:rowOff>152400</xdr:rowOff>
    </xdr:from>
    <xdr:to>
      <xdr:col>112</xdr:col>
      <xdr:colOff>476250</xdr:colOff>
      <xdr:row>19</xdr:row>
      <xdr:rowOff>104775</xdr:rowOff>
    </xdr:to>
    <xdr:graphicFrame macro="">
      <xdr:nvGraphicFramePr>
        <xdr:cNvPr id="97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79</xdr:col>
      <xdr:colOff>228600</xdr:colOff>
      <xdr:row>22</xdr:row>
      <xdr:rowOff>38100</xdr:rowOff>
    </xdr:from>
    <xdr:to>
      <xdr:col>112</xdr:col>
      <xdr:colOff>180975</xdr:colOff>
      <xdr:row>53</xdr:row>
      <xdr:rowOff>152400</xdr:rowOff>
    </xdr:to>
    <xdr:graphicFrame macro="">
      <xdr:nvGraphicFramePr>
        <xdr:cNvPr id="9721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130</xdr:row>
      <xdr:rowOff>0</xdr:rowOff>
    </xdr:from>
    <xdr:to>
      <xdr:col>13</xdr:col>
      <xdr:colOff>1028700</xdr:colOff>
      <xdr:row>155</xdr:row>
      <xdr:rowOff>133350</xdr:rowOff>
    </xdr:to>
    <xdr:graphicFrame macro="">
      <xdr:nvGraphicFramePr>
        <xdr:cNvPr id="844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133350</xdr:colOff>
      <xdr:row>158</xdr:row>
      <xdr:rowOff>171450</xdr:rowOff>
    </xdr:from>
    <xdr:to>
      <xdr:col>13</xdr:col>
      <xdr:colOff>857250</xdr:colOff>
      <xdr:row>186</xdr:row>
      <xdr:rowOff>76200</xdr:rowOff>
    </xdr:to>
    <xdr:graphicFrame macro="">
      <xdr:nvGraphicFramePr>
        <xdr:cNvPr id="844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spurch/GasCosts/HEDGE/HED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aspurch/GasCosts/Annual/FY1012/1012pgc7Jul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aspurch/GasCosts/Annual/FY0809/0911pgc9Jun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ULF INDEXES"/>
      <sheetName val="NYMEX "/>
      <sheetName val="NYMEX OPTIONS"/>
      <sheetName val="FUTURESOURCE "/>
      <sheetName val="HEDGING REQS "/>
      <sheetName val="HEDGING LIMITS "/>
      <sheetName val="NON-PGC HEDGE"/>
      <sheetName val="NYMEX FUTURE YRS  "/>
      <sheetName val="NYMEX - YR GRAPH"/>
      <sheetName val="PGC HEDGING SUMMARY"/>
      <sheetName val="HEDGES - DETAILS"/>
      <sheetName val="HEDGE - RESULTS"/>
      <sheetName val="STORAGE"/>
      <sheetName val="RATE &amp; BUDGET IMPACT "/>
    </sheetNames>
    <sheetDataSet>
      <sheetData sheetId="0"/>
      <sheetData sheetId="1">
        <row r="20">
          <cell r="AG20">
            <v>9.0347500000000007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23">
          <cell r="N423">
            <v>-115000</v>
          </cell>
        </row>
        <row r="466">
          <cell r="N466">
            <v>-419270.00000000035</v>
          </cell>
        </row>
        <row r="472">
          <cell r="N472">
            <v>-195488</v>
          </cell>
        </row>
        <row r="500">
          <cell r="N500">
            <v>0</v>
          </cell>
        </row>
      </sheetData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WORKBOOK NOTES"/>
      <sheetName val="HEDGE REPORT"/>
      <sheetName val="YR SUMMARIES"/>
      <sheetName val="YR REPORTS"/>
      <sheetName val="COMMODITY DETAIL"/>
      <sheetName val="FIN OPS REV VOL VS YR REPORTS"/>
      <sheetName val="PGC GRAPHS"/>
      <sheetName val="NONPGC GRAPHS"/>
      <sheetName val="TOTAL GRAPHS"/>
      <sheetName val="NON-PGC HEDGE "/>
      <sheetName val="MCFS"/>
      <sheetName val="MCFS GRAPHS"/>
      <sheetName val="FT GAS"/>
      <sheetName val="FSS"/>
      <sheetName val="GSS-09"/>
      <sheetName val="GSS-97"/>
      <sheetName val="GSS-62"/>
      <sheetName val="GSS-TOT"/>
      <sheetName val="STORAGE TOT"/>
      <sheetName val="GAS "/>
      <sheetName val="TRANSPORT"/>
      <sheetName val="DEMAND"/>
    </sheetNames>
    <sheetDataSet>
      <sheetData sheetId="0"/>
      <sheetData sheetId="1"/>
      <sheetData sheetId="2">
        <row r="11">
          <cell r="C11">
            <v>103.42265333676838</v>
          </cell>
          <cell r="D11">
            <v>15.405617499999998</v>
          </cell>
          <cell r="E11">
            <v>6.7133078785558835</v>
          </cell>
        </row>
        <row r="12">
          <cell r="C12">
            <v>81.915524888048068</v>
          </cell>
          <cell r="D12">
            <v>11.8072588</v>
          </cell>
          <cell r="E12">
            <v>6.9377258748701323</v>
          </cell>
        </row>
        <row r="13">
          <cell r="C13">
            <v>21.507128448720312</v>
          </cell>
          <cell r="D13">
            <v>3.5983587000000004</v>
          </cell>
          <cell r="E13">
            <v>5.9769273276508841</v>
          </cell>
        </row>
        <row r="17">
          <cell r="C17">
            <v>-2.2015080000000005</v>
          </cell>
          <cell r="D17">
            <v>4.3836562499999987</v>
          </cell>
          <cell r="E17">
            <v>-0.50220817382749872</v>
          </cell>
        </row>
        <row r="18">
          <cell r="C18">
            <v>-1.7571565</v>
          </cell>
          <cell r="D18">
            <v>3.7927265624999991</v>
          </cell>
          <cell r="E18">
            <v>-0.4632963834971956</v>
          </cell>
        </row>
        <row r="19">
          <cell r="C19">
            <v>-0.44435150000000029</v>
          </cell>
          <cell r="D19">
            <v>0.59092968749999986</v>
          </cell>
          <cell r="E19">
            <v>-0.75195325162945104</v>
          </cell>
        </row>
        <row r="23">
          <cell r="C23">
            <v>0.70929113696990553</v>
          </cell>
          <cell r="D23">
            <v>2.90625</v>
          </cell>
          <cell r="E23">
            <v>0.24405716540899974</v>
          </cell>
        </row>
        <row r="24">
          <cell r="C24">
            <v>-1.0478653630300945</v>
          </cell>
          <cell r="D24">
            <v>6.6989765624999986</v>
          </cell>
          <cell r="E24">
            <v>-0.15642170908552044</v>
          </cell>
        </row>
        <row r="25">
          <cell r="C25">
            <v>80.86765952501797</v>
          </cell>
          <cell r="D25">
            <v>11.8072588</v>
          </cell>
          <cell r="E25">
            <v>6.8489783187455817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ORKBOOK NOTES"/>
      <sheetName val="HEDGE REPORT"/>
      <sheetName val="YR SUMMARIES"/>
      <sheetName val="YR REPORTS"/>
      <sheetName val="FIN OPS REV VOL VS YR REPORTS"/>
      <sheetName val="PGC GRAPHS"/>
      <sheetName val="NONPGC GRAPHS"/>
      <sheetName val="TOTAL GRAPHS"/>
      <sheetName val="NON-PGC HEDGE "/>
      <sheetName val="MCFS"/>
      <sheetName val="MCFS GRAPHS"/>
      <sheetName val="FT GAS"/>
      <sheetName val="FSS"/>
      <sheetName val="GSS-09"/>
      <sheetName val="GSS-97"/>
      <sheetName val="GSS-62"/>
      <sheetName val="GSS-TOT"/>
      <sheetName val="STORAGE TOT"/>
      <sheetName val="GAS "/>
      <sheetName val="TRANSPORT"/>
      <sheetName val="DEMAND"/>
    </sheetNames>
    <sheetDataSet>
      <sheetData sheetId="0"/>
      <sheetData sheetId="1"/>
      <sheetData sheetId="2"/>
      <sheetData sheetId="3">
        <row r="14">
          <cell r="AK14">
            <v>7207544.4341806555</v>
          </cell>
          <cell r="AL14">
            <v>7555533.0219534757</v>
          </cell>
          <cell r="AM14">
            <v>7053736.2243253794</v>
          </cell>
          <cell r="AN14">
            <v>9827205.3349409644</v>
          </cell>
          <cell r="AO14">
            <v>13334949.813303942</v>
          </cell>
          <cell r="AP14">
            <v>12665537.437015593</v>
          </cell>
          <cell r="AQ14">
            <v>14698588.187076695</v>
          </cell>
          <cell r="AR14">
            <v>13064461.201165771</v>
          </cell>
          <cell r="AS14">
            <v>13000551.774003241</v>
          </cell>
          <cell r="AT14">
            <v>12227672.699174229</v>
          </cell>
          <cell r="AU14">
            <v>9583447.97876513</v>
          </cell>
          <cell r="AV14">
            <v>8109197.7133564232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71"/>
  <sheetViews>
    <sheetView zoomScale="50" workbookViewId="0">
      <selection activeCell="B17" sqref="B17"/>
    </sheetView>
  </sheetViews>
  <sheetFormatPr defaultRowHeight="20.25"/>
  <cols>
    <col min="1" max="1" width="79.88671875" style="1" bestFit="1" customWidth="1"/>
    <col min="2" max="16384" width="8.88671875" style="1"/>
  </cols>
  <sheetData>
    <row r="1" spans="1:2">
      <c r="A1" s="1" t="s">
        <v>251</v>
      </c>
    </row>
    <row r="2" spans="1:2">
      <c r="A2" s="2" t="s">
        <v>130</v>
      </c>
      <c r="B2" s="1" t="s">
        <v>218</v>
      </c>
    </row>
    <row r="3" spans="1:2">
      <c r="A3" s="2" t="s">
        <v>143</v>
      </c>
      <c r="B3" s="1" t="s">
        <v>219</v>
      </c>
    </row>
    <row r="4" spans="1:2">
      <c r="A4" s="3" t="s">
        <v>118</v>
      </c>
      <c r="B4" s="1" t="s">
        <v>220</v>
      </c>
    </row>
    <row r="5" spans="1:2">
      <c r="A5" s="3" t="s">
        <v>119</v>
      </c>
      <c r="B5" s="1" t="s">
        <v>219</v>
      </c>
    </row>
    <row r="6" spans="1:2">
      <c r="A6" s="2" t="s">
        <v>70</v>
      </c>
      <c r="B6" s="1" t="s">
        <v>221</v>
      </c>
    </row>
    <row r="7" spans="1:2">
      <c r="A7" s="4"/>
    </row>
    <row r="8" spans="1:2">
      <c r="A8" s="5" t="s">
        <v>131</v>
      </c>
      <c r="B8" s="1" t="s">
        <v>239</v>
      </c>
    </row>
    <row r="9" spans="1:2">
      <c r="A9" s="5" t="s">
        <v>71</v>
      </c>
    </row>
    <row r="10" spans="1:2">
      <c r="A10" s="2" t="s">
        <v>132</v>
      </c>
      <c r="B10" s="1" t="s">
        <v>222</v>
      </c>
    </row>
    <row r="11" spans="1:2">
      <c r="A11" s="2" t="s">
        <v>205</v>
      </c>
    </row>
    <row r="12" spans="1:2">
      <c r="A12" s="2"/>
    </row>
    <row r="13" spans="1:2">
      <c r="A13" s="2" t="s">
        <v>202</v>
      </c>
      <c r="B13" s="1" t="s">
        <v>223</v>
      </c>
    </row>
    <row r="14" spans="1:2">
      <c r="A14" s="2" t="s">
        <v>136</v>
      </c>
    </row>
    <row r="15" spans="1:2">
      <c r="A15" s="2" t="s">
        <v>135</v>
      </c>
      <c r="B15" s="1" t="s">
        <v>224</v>
      </c>
    </row>
    <row r="16" spans="1:2">
      <c r="A16" s="2" t="s">
        <v>138</v>
      </c>
    </row>
    <row r="17" spans="1:2">
      <c r="A17" s="2" t="s">
        <v>139</v>
      </c>
      <c r="B17" s="1" t="s">
        <v>225</v>
      </c>
    </row>
    <row r="18" spans="1:2">
      <c r="A18" s="2" t="s">
        <v>137</v>
      </c>
      <c r="B18" s="1" t="s">
        <v>226</v>
      </c>
    </row>
    <row r="19" spans="1:2">
      <c r="A19" s="2" t="s">
        <v>145</v>
      </c>
    </row>
    <row r="20" spans="1:2">
      <c r="A20" s="2" t="s">
        <v>210</v>
      </c>
      <c r="B20" s="1" t="s">
        <v>227</v>
      </c>
    </row>
    <row r="21" spans="1:2">
      <c r="A21" s="2" t="s">
        <v>208</v>
      </c>
      <c r="B21" s="1" t="s">
        <v>231</v>
      </c>
    </row>
    <row r="22" spans="1:2">
      <c r="A22" s="2" t="s">
        <v>211</v>
      </c>
    </row>
    <row r="23" spans="1:2">
      <c r="A23" s="2" t="s">
        <v>209</v>
      </c>
      <c r="B23" s="1" t="s">
        <v>232</v>
      </c>
    </row>
    <row r="24" spans="1:2">
      <c r="A24" s="2" t="s">
        <v>212</v>
      </c>
    </row>
    <row r="25" spans="1:2">
      <c r="A25" s="2" t="s">
        <v>129</v>
      </c>
      <c r="B25" s="1" t="s">
        <v>234</v>
      </c>
    </row>
    <row r="26" spans="1:2">
      <c r="A26" s="2" t="s">
        <v>213</v>
      </c>
      <c r="B26" s="1" t="s">
        <v>233</v>
      </c>
    </row>
    <row r="27" spans="1:2">
      <c r="A27" s="2" t="s">
        <v>214</v>
      </c>
    </row>
    <row r="28" spans="1:2">
      <c r="A28" s="2"/>
    </row>
    <row r="29" spans="1:2">
      <c r="A29" s="6" t="s">
        <v>236</v>
      </c>
      <c r="B29" s="1" t="s">
        <v>237</v>
      </c>
    </row>
    <row r="30" spans="1:2">
      <c r="A30" s="6" t="s">
        <v>108</v>
      </c>
      <c r="B30" s="1" t="s">
        <v>238</v>
      </c>
    </row>
    <row r="31" spans="1:2">
      <c r="A31" s="6" t="s">
        <v>73</v>
      </c>
    </row>
    <row r="32" spans="1:2">
      <c r="A32" s="7" t="s">
        <v>74</v>
      </c>
      <c r="B32" s="1" t="s">
        <v>235</v>
      </c>
    </row>
    <row r="33" spans="1:2">
      <c r="A33" s="7" t="s">
        <v>109</v>
      </c>
      <c r="B33" s="1" t="s">
        <v>240</v>
      </c>
    </row>
    <row r="34" spans="1:2">
      <c r="A34" s="4" t="s">
        <v>110</v>
      </c>
    </row>
    <row r="35" spans="1:2">
      <c r="A35" s="2" t="s">
        <v>120</v>
      </c>
    </row>
    <row r="36" spans="1:2">
      <c r="A36" s="2" t="s">
        <v>75</v>
      </c>
    </row>
    <row r="37" spans="1:2">
      <c r="A37" s="2" t="s">
        <v>76</v>
      </c>
    </row>
    <row r="39" spans="1:2">
      <c r="A39" s="8" t="s">
        <v>134</v>
      </c>
    </row>
    <row r="40" spans="1:2">
      <c r="A40" s="2" t="s">
        <v>142</v>
      </c>
    </row>
    <row r="41" spans="1:2">
      <c r="A41" s="2" t="s">
        <v>144</v>
      </c>
    </row>
    <row r="42" spans="1:2">
      <c r="A42" s="9" t="s">
        <v>147</v>
      </c>
    </row>
    <row r="43" spans="1:2">
      <c r="A43" s="9" t="s">
        <v>148</v>
      </c>
    </row>
    <row r="44" spans="1:2">
      <c r="A44" s="8" t="s">
        <v>133</v>
      </c>
    </row>
    <row r="45" spans="1:2">
      <c r="A45" s="2" t="s">
        <v>140</v>
      </c>
    </row>
    <row r="46" spans="1:2">
      <c r="A46" s="2" t="s">
        <v>141</v>
      </c>
    </row>
    <row r="47" spans="1:2">
      <c r="A47" s="9" t="s">
        <v>215</v>
      </c>
    </row>
    <row r="48" spans="1:2">
      <c r="A48" s="9" t="s">
        <v>146</v>
      </c>
    </row>
    <row r="49" spans="1:1">
      <c r="A49" s="2" t="s">
        <v>206</v>
      </c>
    </row>
    <row r="50" spans="1:1">
      <c r="A50" s="2" t="s">
        <v>207</v>
      </c>
    </row>
    <row r="51" spans="1:1">
      <c r="A51" s="2" t="s">
        <v>216</v>
      </c>
    </row>
    <row r="52" spans="1:1">
      <c r="A52" s="2" t="s">
        <v>78</v>
      </c>
    </row>
    <row r="58" spans="1:1">
      <c r="A58" s="6" t="s">
        <v>246</v>
      </c>
    </row>
    <row r="59" spans="1:1">
      <c r="A59" s="6" t="s">
        <v>247</v>
      </c>
    </row>
    <row r="60" spans="1:1">
      <c r="A60" s="4" t="s">
        <v>241</v>
      </c>
    </row>
    <row r="61" spans="1:1">
      <c r="A61" s="4" t="s">
        <v>242</v>
      </c>
    </row>
    <row r="62" spans="1:1">
      <c r="A62" s="4" t="s">
        <v>243</v>
      </c>
    </row>
    <row r="63" spans="1:1">
      <c r="A63" s="4" t="s">
        <v>248</v>
      </c>
    </row>
    <row r="64" spans="1:1">
      <c r="A64" s="10"/>
    </row>
    <row r="65" spans="1:1">
      <c r="A65" s="7" t="s">
        <v>244</v>
      </c>
    </row>
    <row r="66" spans="1:1">
      <c r="A66" s="7" t="s">
        <v>118</v>
      </c>
    </row>
    <row r="67" spans="1:1">
      <c r="A67" s="7" t="s">
        <v>245</v>
      </c>
    </row>
    <row r="68" spans="1:1">
      <c r="A68" s="7" t="s">
        <v>77</v>
      </c>
    </row>
    <row r="69" spans="1:1">
      <c r="A69" s="4" t="s">
        <v>136</v>
      </c>
    </row>
    <row r="70" spans="1:1">
      <c r="A70" s="7" t="s">
        <v>249</v>
      </c>
    </row>
    <row r="71" spans="1:1">
      <c r="A71" s="7" t="s">
        <v>204</v>
      </c>
    </row>
  </sheetData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M52"/>
  <sheetViews>
    <sheetView showGridLines="0" topLeftCell="B1" zoomScale="50" workbookViewId="0">
      <selection activeCell="K51" sqref="K51"/>
    </sheetView>
  </sheetViews>
  <sheetFormatPr defaultRowHeight="20.25"/>
  <cols>
    <col min="1" max="1" width="71.88671875" style="1" bestFit="1" customWidth="1"/>
    <col min="2" max="2" width="29.88671875" style="10" bestFit="1" customWidth="1"/>
    <col min="3" max="3" width="25.6640625" style="1" customWidth="1"/>
    <col min="4" max="4" width="10.33203125" style="22" customWidth="1"/>
    <col min="5" max="5" width="29" style="22" customWidth="1"/>
    <col min="6" max="6" width="21.6640625" style="22" bestFit="1" customWidth="1"/>
    <col min="7" max="7" width="32.77734375" style="16" customWidth="1"/>
    <col min="8" max="8" width="19.88671875" style="16" customWidth="1"/>
    <col min="9" max="9" width="26.109375" style="29" customWidth="1"/>
    <col min="10" max="10" width="15.44140625" style="30" bestFit="1" customWidth="1"/>
    <col min="11" max="11" width="26.21875" style="10" bestFit="1" customWidth="1"/>
    <col min="12" max="12" width="18.109375" style="10" bestFit="1" customWidth="1"/>
    <col min="13" max="13" width="9.6640625" style="10" bestFit="1" customWidth="1"/>
    <col min="14" max="14" width="8.44140625" style="1" customWidth="1"/>
    <col min="15" max="16384" width="8.88671875" style="1"/>
  </cols>
  <sheetData>
    <row r="1" spans="1:12">
      <c r="A1" s="33" t="s">
        <v>949</v>
      </c>
      <c r="D1" s="152"/>
      <c r="E1" s="301"/>
    </row>
    <row r="2" spans="1:12">
      <c r="A2" s="33" t="s">
        <v>116</v>
      </c>
      <c r="F2" s="322"/>
    </row>
    <row r="3" spans="1:12">
      <c r="A3" s="33" t="s">
        <v>877</v>
      </c>
      <c r="H3" s="244"/>
      <c r="K3" s="30"/>
    </row>
    <row r="4" spans="1:12">
      <c r="A4" s="33"/>
      <c r="F4" s="187"/>
    </row>
    <row r="7" spans="1:12" ht="21" thickBot="1"/>
    <row r="8" spans="1:12">
      <c r="A8" s="245" t="s">
        <v>485</v>
      </c>
      <c r="B8" s="246"/>
      <c r="C8" s="247"/>
      <c r="D8" s="248"/>
      <c r="E8" s="248"/>
      <c r="F8" s="248"/>
      <c r="G8" s="237"/>
      <c r="H8" s="249">
        <v>40764</v>
      </c>
      <c r="I8" s="250" t="s">
        <v>486</v>
      </c>
      <c r="J8" s="251"/>
    </row>
    <row r="9" spans="1:12">
      <c r="A9" s="252" t="s">
        <v>487</v>
      </c>
      <c r="B9" s="253" t="s">
        <v>488</v>
      </c>
      <c r="C9" s="253" t="s">
        <v>489</v>
      </c>
      <c r="D9" s="162" t="s">
        <v>490</v>
      </c>
      <c r="E9" s="162" t="s">
        <v>491</v>
      </c>
      <c r="F9" s="162" t="s">
        <v>771</v>
      </c>
      <c r="G9" s="254" t="s">
        <v>492</v>
      </c>
      <c r="H9" s="254" t="s">
        <v>466</v>
      </c>
      <c r="I9" s="255" t="s">
        <v>493</v>
      </c>
      <c r="J9" s="256" t="s">
        <v>494</v>
      </c>
    </row>
    <row r="10" spans="1:12">
      <c r="A10" s="341" t="s">
        <v>920</v>
      </c>
      <c r="B10" s="257" t="s">
        <v>890</v>
      </c>
      <c r="C10" s="369" t="s">
        <v>808</v>
      </c>
      <c r="D10" s="152">
        <f>+'FT GAS'!S60</f>
        <v>1826.6423357664235</v>
      </c>
      <c r="E10" s="152">
        <f>+'FT GAS'!S59</f>
        <v>500500</v>
      </c>
      <c r="F10" s="165">
        <f>E10/MCFS!$P$13</f>
        <v>3.9280834799920519E-2</v>
      </c>
      <c r="G10" s="244">
        <f>+'FT GAS'!S62</f>
        <v>4.454645354645355</v>
      </c>
      <c r="H10" s="244">
        <f>('FT GAS'!G59*'FT GAS'!G109+'FT GAS'!H59*'FT GAS'!H109+'FT GAS'!I59*'FT GAS'!I109+'FT GAS'!J59*'FT GAS'!J109+'FT GAS'!K59*'FT GAS'!K109+'FT GAS'!L59*'FT GAS'!L109+'FT GAS'!M59*'FT GAS'!M109+'FT GAS'!N59*'FT GAS'!N109+'FT GAS'!O59*'FT GAS'!O109)/'FT GAS'!S59</f>
        <v>4.0421738261738263</v>
      </c>
      <c r="I10" s="258">
        <f>H10-G10</f>
        <v>-0.41247152847152879</v>
      </c>
      <c r="J10" s="240">
        <f>E10*I10</f>
        <v>-206442.00000000017</v>
      </c>
      <c r="K10" s="30">
        <f>+'[1]HEDGE - RESULTS'!$N$472</f>
        <v>-195488</v>
      </c>
    </row>
    <row r="11" spans="1:12">
      <c r="A11" s="341" t="s">
        <v>944</v>
      </c>
      <c r="B11" s="257" t="s">
        <v>946</v>
      </c>
      <c r="C11" s="257" t="s">
        <v>857</v>
      </c>
      <c r="D11" s="152">
        <f>+'FT GAS'!S52</f>
        <v>6643.8356164383558</v>
      </c>
      <c r="E11" s="152">
        <f>+'FT GAS'!S51</f>
        <v>2425000</v>
      </c>
      <c r="F11" s="165">
        <f>E11/MCFS!$P$13</f>
        <v>0.19032172705256195</v>
      </c>
      <c r="G11" s="244">
        <f>+'FT GAS'!S54</f>
        <v>4.3751432989690722</v>
      </c>
      <c r="H11" s="203">
        <f>('FT GAS'!G51*'FT GAS'!G109+'FT GAS'!H51*'FT GAS'!H109+'FT GAS'!I51*'FT GAS'!I109+'FT GAS'!J51*'FT GAS'!J109+'FT GAS'!K51*'FT GAS'!K109+'FT GAS'!L51*'FT GAS'!L109+'FT GAS'!M51*'FT GAS'!M109+'FT GAS'!N51*'FT GAS'!N109+'FT GAS'!O51*'FT GAS'!O109+'FT GAS'!P51*'FT GAS'!P109+'FT GAS'!Q51*'FT GAS'!Q109+'FT GAS'!R51*'FT GAS'!R109)/'FT GAS'!S51</f>
        <v>4.1263865979381444</v>
      </c>
      <c r="I11" s="258">
        <f>H11-G11</f>
        <v>-0.24875670103092773</v>
      </c>
      <c r="J11" s="240">
        <f>E11*I11</f>
        <v>-603234.99999999977</v>
      </c>
      <c r="K11" s="30">
        <f>+'[1]HEDGE - RESULTS'!$N$466</f>
        <v>-419270.00000000035</v>
      </c>
      <c r="L11" s="4"/>
    </row>
    <row r="12" spans="1:12" ht="21" thickBot="1">
      <c r="A12" s="259" t="s">
        <v>888</v>
      </c>
      <c r="B12" s="260"/>
      <c r="C12" s="261"/>
      <c r="D12" s="262"/>
      <c r="E12" s="263">
        <f>SUM(E10:E11)</f>
        <v>2925500</v>
      </c>
      <c r="F12" s="264">
        <f>SUM(F10:F11)</f>
        <v>0.22960256185248246</v>
      </c>
      <c r="G12" s="265">
        <f>(E10*G10+E11*G11)/E12</f>
        <v>4.3887446590326444</v>
      </c>
      <c r="H12" s="265">
        <f>(E10*H10+E11*H11)/E12</f>
        <v>4.1119793197743979</v>
      </c>
      <c r="I12" s="266">
        <f>(E10*I10+E11*I11)/E12</f>
        <v>-0.27676533925824648</v>
      </c>
      <c r="J12" s="267">
        <f>SUM(J10:J11)</f>
        <v>-809677</v>
      </c>
      <c r="K12" s="30"/>
    </row>
    <row r="13" spans="1:12" ht="21" thickBot="1">
      <c r="A13" s="369"/>
      <c r="B13" s="257"/>
      <c r="C13" s="369"/>
      <c r="D13" s="152"/>
      <c r="E13" s="152"/>
      <c r="F13" s="152"/>
      <c r="G13" s="244"/>
      <c r="H13" s="244"/>
      <c r="I13" s="258"/>
      <c r="J13" s="235"/>
    </row>
    <row r="14" spans="1:12">
      <c r="A14" s="268"/>
      <c r="B14" s="246"/>
      <c r="C14" s="246"/>
      <c r="D14" s="248"/>
      <c r="E14" s="248"/>
      <c r="F14" s="248"/>
      <c r="G14" s="237"/>
      <c r="H14" s="249">
        <f>H8</f>
        <v>40764</v>
      </c>
      <c r="I14" s="250" t="s">
        <v>495</v>
      </c>
      <c r="J14" s="251"/>
    </row>
    <row r="15" spans="1:12">
      <c r="A15" s="269"/>
      <c r="B15" s="257"/>
      <c r="C15" s="257"/>
      <c r="D15" s="152"/>
      <c r="E15" s="270" t="s">
        <v>496</v>
      </c>
      <c r="F15" s="162" t="s">
        <v>771</v>
      </c>
      <c r="G15" s="254" t="s">
        <v>497</v>
      </c>
      <c r="H15" s="254" t="s">
        <v>772</v>
      </c>
      <c r="I15" s="255" t="s">
        <v>772</v>
      </c>
      <c r="J15" s="256" t="s">
        <v>494</v>
      </c>
    </row>
    <row r="16" spans="1:12" ht="21" thickBot="1">
      <c r="A16" s="259" t="s">
        <v>773</v>
      </c>
      <c r="B16" s="260"/>
      <c r="C16" s="260"/>
      <c r="D16" s="262"/>
      <c r="E16" s="273">
        <f>ROUND(-SUM('STORAGE TOT'!H9:K9),-5)</f>
        <v>3100000</v>
      </c>
      <c r="F16" s="306">
        <f>E16/MCFS!$P$13</f>
        <v>0.24329787788162557</v>
      </c>
      <c r="G16" s="265">
        <f>+'STORAGE TOT'!F19</f>
        <v>4.6787157701221007</v>
      </c>
      <c r="H16" s="265">
        <f>AVERAGE('FT GAS'!L109:N109)+(0.64*0.16+0.36*0.26)</f>
        <v>4.4623333333333326</v>
      </c>
      <c r="I16" s="266">
        <f>H16-G16</f>
        <v>-0.21638243678876812</v>
      </c>
      <c r="J16" s="267">
        <f>E16*I16</f>
        <v>-670785.55404518114</v>
      </c>
    </row>
    <row r="17" spans="1:10" ht="21" thickBot="1"/>
    <row r="18" spans="1:10">
      <c r="A18" s="245"/>
      <c r="B18" s="246"/>
      <c r="C18" s="246"/>
      <c r="D18" s="248"/>
      <c r="E18" s="248"/>
      <c r="F18" s="271"/>
      <c r="G18" s="237"/>
      <c r="H18" s="249">
        <f>H8</f>
        <v>40764</v>
      </c>
      <c r="I18" s="250" t="s">
        <v>498</v>
      </c>
      <c r="J18" s="272"/>
    </row>
    <row r="19" spans="1:10">
      <c r="A19" s="252"/>
      <c r="B19" s="257"/>
      <c r="C19" s="257"/>
      <c r="D19" s="152"/>
      <c r="E19" s="162" t="s">
        <v>499</v>
      </c>
      <c r="F19" s="162" t="s">
        <v>771</v>
      </c>
      <c r="G19" s="254" t="s">
        <v>500</v>
      </c>
      <c r="H19" s="254" t="s">
        <v>466</v>
      </c>
      <c r="I19" s="255" t="s">
        <v>493</v>
      </c>
      <c r="J19" s="256" t="s">
        <v>494</v>
      </c>
    </row>
    <row r="20" spans="1:10" ht="21" thickBot="1">
      <c r="A20" s="259" t="s">
        <v>889</v>
      </c>
      <c r="B20" s="260"/>
      <c r="C20" s="260"/>
      <c r="D20" s="262"/>
      <c r="E20" s="263">
        <f>SUM(E12,E16)</f>
        <v>6025500</v>
      </c>
      <c r="F20" s="264">
        <f>SUM(F12,F16)</f>
        <v>0.472900439734108</v>
      </c>
      <c r="G20" s="265">
        <f>(E12*G12+E16*G16)/E20</f>
        <v>4.5379290328401813</v>
      </c>
      <c r="H20" s="265">
        <f>(E12*H12+E16*H16)/E20</f>
        <v>4.292229496860565</v>
      </c>
      <c r="I20" s="266">
        <f>H20-G20</f>
        <v>-0.24569953597961636</v>
      </c>
      <c r="J20" s="267">
        <f>SUM(J12,J16)</f>
        <v>-1480462.5540451813</v>
      </c>
    </row>
    <row r="23" spans="1:10" ht="21" thickBot="1"/>
    <row r="24" spans="1:10">
      <c r="A24" s="245" t="s">
        <v>912</v>
      </c>
      <c r="B24" s="246"/>
      <c r="C24" s="247"/>
      <c r="D24" s="248"/>
      <c r="E24" s="248"/>
      <c r="F24" s="248"/>
      <c r="G24" s="237"/>
      <c r="H24" s="249">
        <v>40764</v>
      </c>
      <c r="I24" s="250" t="s">
        <v>486</v>
      </c>
      <c r="J24" s="251"/>
    </row>
    <row r="25" spans="1:10">
      <c r="A25" s="252" t="s">
        <v>487</v>
      </c>
      <c r="B25" s="253" t="s">
        <v>488</v>
      </c>
      <c r="C25" s="253" t="s">
        <v>489</v>
      </c>
      <c r="D25" s="162" t="s">
        <v>490</v>
      </c>
      <c r="E25" s="162" t="s">
        <v>491</v>
      </c>
      <c r="F25" s="162" t="s">
        <v>913</v>
      </c>
      <c r="G25" s="254" t="s">
        <v>492</v>
      </c>
      <c r="H25" s="254" t="s">
        <v>466</v>
      </c>
      <c r="I25" s="255" t="s">
        <v>493</v>
      </c>
      <c r="J25" s="256" t="s">
        <v>494</v>
      </c>
    </row>
    <row r="26" spans="1:10" ht="21" thickBot="1">
      <c r="A26" s="412" t="s">
        <v>942</v>
      </c>
      <c r="B26" s="260" t="s">
        <v>947</v>
      </c>
      <c r="C26" s="261" t="s">
        <v>808</v>
      </c>
      <c r="D26" s="262">
        <f>+'FT GAS'!S68</f>
        <v>4349.0566037735853</v>
      </c>
      <c r="E26" s="263">
        <f>+'FT GAS'!S67</f>
        <v>922000</v>
      </c>
      <c r="F26" s="306">
        <f>E26/MCFS!P15</f>
        <v>0.2450261838689464</v>
      </c>
      <c r="G26" s="413">
        <f>+'FT GAS'!S70</f>
        <v>4.2743546637744032</v>
      </c>
      <c r="H26" s="413">
        <f>('FT GAS'!K67*'FT GAS'!K109+'FT GAS'!L67*'FT GAS'!L109+'FT GAS'!M67*'FT GAS'!M109+'FT GAS'!N67*'FT GAS'!N109+'FT GAS'!O67*'FT GAS'!O109+'FT GAS'!Q67*'FT GAS'!Q109+'FT GAS'!R67*'FT GAS'!R109)/'FT GAS'!S67</f>
        <v>4.0653215835141001</v>
      </c>
      <c r="I26" s="414">
        <f>G26-H26</f>
        <v>0.20903308026030309</v>
      </c>
      <c r="J26" s="415">
        <f>I26*E26</f>
        <v>192728.49999999945</v>
      </c>
    </row>
    <row r="29" spans="1:10">
      <c r="A29" s="33" t="s">
        <v>922</v>
      </c>
      <c r="E29" s="59">
        <f>E12+E26</f>
        <v>3847500</v>
      </c>
      <c r="G29" s="34">
        <f>(E12*G12+E26*G26)/E29</f>
        <v>4.3613326835607538</v>
      </c>
      <c r="H29" s="34">
        <f>(E12*H12+E26*H26)/E29</f>
        <v>4.1007984405458098</v>
      </c>
      <c r="I29" s="419">
        <f>H29-G29</f>
        <v>-0.26053424301494399</v>
      </c>
      <c r="J29" s="30">
        <f>E29*I29</f>
        <v>-1002405.499999997</v>
      </c>
    </row>
    <row r="34" spans="1:11" ht="21" thickBot="1"/>
    <row r="35" spans="1:11">
      <c r="A35" s="245" t="s">
        <v>485</v>
      </c>
      <c r="B35" s="246"/>
      <c r="C35" s="247"/>
      <c r="D35" s="248"/>
      <c r="E35" s="248"/>
      <c r="F35" s="248"/>
      <c r="G35" s="237"/>
      <c r="H35" s="249">
        <v>40764</v>
      </c>
      <c r="I35" s="250" t="s">
        <v>486</v>
      </c>
      <c r="J35" s="251"/>
    </row>
    <row r="36" spans="1:11">
      <c r="A36" s="252" t="s">
        <v>487</v>
      </c>
      <c r="B36" s="253" t="s">
        <v>488</v>
      </c>
      <c r="C36" s="253" t="s">
        <v>489</v>
      </c>
      <c r="D36" s="162" t="s">
        <v>490</v>
      </c>
      <c r="E36" s="162" t="s">
        <v>491</v>
      </c>
      <c r="F36" s="162" t="s">
        <v>771</v>
      </c>
      <c r="G36" s="254" t="s">
        <v>492</v>
      </c>
      <c r="H36" s="254" t="s">
        <v>466</v>
      </c>
      <c r="I36" s="255" t="s">
        <v>493</v>
      </c>
      <c r="J36" s="256" t="s">
        <v>494</v>
      </c>
    </row>
    <row r="37" spans="1:11">
      <c r="A37" s="341" t="s">
        <v>945</v>
      </c>
      <c r="B37" s="257" t="s">
        <v>940</v>
      </c>
      <c r="C37" s="369" t="s">
        <v>857</v>
      </c>
      <c r="D37" s="152">
        <f>+'FT GAS'!AJ52</f>
        <v>6118.181818181818</v>
      </c>
      <c r="E37" s="152">
        <f>+'FT GAS'!AJ51</f>
        <v>1682500</v>
      </c>
      <c r="F37" s="165">
        <f>E37/MCFS!AF13</f>
        <v>0.13120002126244021</v>
      </c>
      <c r="G37" s="244">
        <f>+'FT GAS'!AJ54</f>
        <v>4.281123328380386</v>
      </c>
      <c r="H37" s="244">
        <f>('FT GAS'!X51*'FT GAS'!X109+'FT GAS'!Y51*'FT GAS'!Y109+'FT GAS'!Z51*'FT GAS'!Z109+'FT GAS'!AA51*'FT GAS'!AA109+'FT GAS'!AB51*'FT GAS'!AB109+'FT GAS'!AC51*'FT GAS'!AC109+'FT GAS'!AD51*'FT GAS'!AD109+'FT GAS'!AE51*'FT GAS'!AE109+'FT GAS'!AF51*'FT GAS'!AF109)/'FT GAS'!AJ51</f>
        <v>4.281123328380386</v>
      </c>
      <c r="I37" s="258">
        <f>H37-G37</f>
        <v>0</v>
      </c>
      <c r="J37" s="240">
        <f>E37*I37</f>
        <v>0</v>
      </c>
      <c r="K37" s="10">
        <f>+'[1]HEDGE - RESULTS'!$N$500</f>
        <v>0</v>
      </c>
    </row>
    <row r="38" spans="1:11" ht="21" thickBot="1">
      <c r="A38" s="259" t="s">
        <v>923</v>
      </c>
      <c r="B38" s="260"/>
      <c r="C38" s="261"/>
      <c r="D38" s="262"/>
      <c r="E38" s="263">
        <f>SUM(E37:E37)</f>
        <v>1682500</v>
      </c>
      <c r="F38" s="264">
        <f>SUM(F37:F37)</f>
        <v>0.13120002126244021</v>
      </c>
      <c r="G38" s="265">
        <f>(E37*G37)/E38</f>
        <v>4.281123328380386</v>
      </c>
      <c r="H38" s="265">
        <f>(E37*H37)/E38</f>
        <v>4.281123328380386</v>
      </c>
      <c r="I38" s="266">
        <f>I37</f>
        <v>0</v>
      </c>
      <c r="J38" s="267">
        <f>SUM(J37:J37)</f>
        <v>0</v>
      </c>
    </row>
    <row r="39" spans="1:11" ht="21" thickBot="1">
      <c r="A39" s="369"/>
      <c r="B39" s="257"/>
      <c r="C39" s="369"/>
      <c r="D39" s="152"/>
      <c r="E39" s="152"/>
      <c r="F39" s="152"/>
      <c r="G39" s="244"/>
      <c r="H39" s="244"/>
      <c r="I39" s="258"/>
      <c r="J39" s="235"/>
    </row>
    <row r="40" spans="1:11">
      <c r="A40" s="268"/>
      <c r="B40" s="246"/>
      <c r="C40" s="246"/>
      <c r="D40" s="248"/>
      <c r="E40" s="248"/>
      <c r="F40" s="248"/>
      <c r="G40" s="237"/>
      <c r="H40" s="249">
        <f>H35</f>
        <v>40764</v>
      </c>
      <c r="I40" s="250" t="s">
        <v>495</v>
      </c>
      <c r="J40" s="251"/>
    </row>
    <row r="41" spans="1:11">
      <c r="A41" s="269"/>
      <c r="B41" s="257"/>
      <c r="C41" s="257"/>
      <c r="D41" s="152"/>
      <c r="E41" s="270" t="s">
        <v>496</v>
      </c>
      <c r="F41" s="162" t="s">
        <v>771</v>
      </c>
      <c r="G41" s="254" t="s">
        <v>497</v>
      </c>
      <c r="H41" s="254" t="s">
        <v>772</v>
      </c>
      <c r="I41" s="255" t="s">
        <v>772</v>
      </c>
      <c r="J41" s="256" t="s">
        <v>494</v>
      </c>
    </row>
    <row r="42" spans="1:11" ht="21" thickBot="1">
      <c r="A42" s="259" t="s">
        <v>773</v>
      </c>
      <c r="B42" s="260"/>
      <c r="C42" s="260"/>
      <c r="D42" s="262"/>
      <c r="E42" s="273">
        <f>ROUND(-SUM('STORAGE TOT'!T9:W9),-5)</f>
        <v>3100000</v>
      </c>
      <c r="F42" s="306">
        <f>E42/MCFS!$AF$13</f>
        <v>0.24173555180598197</v>
      </c>
      <c r="G42" s="265">
        <f>+'STORAGE TOT'!R19</f>
        <v>4.3599589621895047</v>
      </c>
      <c r="H42" s="265">
        <f>AVERAGE('FT GAS'!AC109:AE109)+(0.64*0.09+0.36*0.15)</f>
        <v>4.5646000000000004</v>
      </c>
      <c r="I42" s="266">
        <f>H42-G42</f>
        <v>0.2046410378104957</v>
      </c>
      <c r="J42" s="267">
        <f>E42*I42</f>
        <v>634387.21721253661</v>
      </c>
    </row>
    <row r="43" spans="1:11" ht="21" thickBot="1"/>
    <row r="44" spans="1:11">
      <c r="A44" s="245"/>
      <c r="B44" s="246"/>
      <c r="C44" s="246"/>
      <c r="D44" s="248"/>
      <c r="E44" s="248"/>
      <c r="F44" s="271"/>
      <c r="G44" s="237"/>
      <c r="H44" s="249">
        <f>H35</f>
        <v>40764</v>
      </c>
      <c r="I44" s="250" t="s">
        <v>498</v>
      </c>
      <c r="J44" s="272"/>
    </row>
    <row r="45" spans="1:11">
      <c r="A45" s="252"/>
      <c r="B45" s="257"/>
      <c r="C45" s="257"/>
      <c r="D45" s="152"/>
      <c r="E45" s="162" t="s">
        <v>499</v>
      </c>
      <c r="F45" s="162" t="s">
        <v>771</v>
      </c>
      <c r="G45" s="254" t="s">
        <v>500</v>
      </c>
      <c r="H45" s="254" t="s">
        <v>466</v>
      </c>
      <c r="I45" s="255" t="s">
        <v>493</v>
      </c>
      <c r="J45" s="256" t="s">
        <v>494</v>
      </c>
    </row>
    <row r="46" spans="1:11" ht="21" thickBot="1">
      <c r="A46" s="259" t="s">
        <v>924</v>
      </c>
      <c r="B46" s="260"/>
      <c r="C46" s="260"/>
      <c r="D46" s="262"/>
      <c r="E46" s="263">
        <f>SUM(E38,E42)</f>
        <v>4782500</v>
      </c>
      <c r="F46" s="264">
        <f>SUM(F38,F42)</f>
        <v>0.37293557306842218</v>
      </c>
      <c r="G46" s="265">
        <f>(E38*G38+E42*G42)/E46</f>
        <v>4.3322243142263384</v>
      </c>
      <c r="H46" s="265">
        <f>(E38*H38+E42*H42)/E46</f>
        <v>4.464871928907475</v>
      </c>
      <c r="I46" s="266">
        <f>H46-G46</f>
        <v>0.13264761468113662</v>
      </c>
      <c r="J46" s="267">
        <f>SUM(J38,J42)</f>
        <v>634387.21721253661</v>
      </c>
    </row>
    <row r="49" spans="1:10" ht="21" thickBot="1"/>
    <row r="50" spans="1:10">
      <c r="A50" s="245" t="s">
        <v>912</v>
      </c>
      <c r="B50" s="246"/>
      <c r="C50" s="247"/>
      <c r="D50" s="248"/>
      <c r="E50" s="248"/>
      <c r="F50" s="248"/>
      <c r="G50" s="237"/>
      <c r="H50" s="249">
        <v>40764</v>
      </c>
      <c r="I50" s="250" t="s">
        <v>486</v>
      </c>
      <c r="J50" s="251"/>
    </row>
    <row r="51" spans="1:10">
      <c r="A51" s="252" t="s">
        <v>487</v>
      </c>
      <c r="B51" s="253" t="s">
        <v>488</v>
      </c>
      <c r="C51" s="253" t="s">
        <v>489</v>
      </c>
      <c r="D51" s="162" t="s">
        <v>490</v>
      </c>
      <c r="E51" s="162" t="s">
        <v>491</v>
      </c>
      <c r="F51" s="162" t="s">
        <v>913</v>
      </c>
      <c r="G51" s="254" t="s">
        <v>492</v>
      </c>
      <c r="H51" s="254" t="s">
        <v>466</v>
      </c>
      <c r="I51" s="255" t="s">
        <v>493</v>
      </c>
      <c r="J51" s="256" t="s">
        <v>494</v>
      </c>
    </row>
    <row r="52" spans="1:10" ht="21" thickBot="1">
      <c r="A52" s="412">
        <v>40659</v>
      </c>
      <c r="B52" s="260" t="s">
        <v>943</v>
      </c>
      <c r="C52" s="261" t="s">
        <v>808</v>
      </c>
      <c r="D52" s="262">
        <f>+'FT GAS'!AJ68</f>
        <v>2898.3606557377047</v>
      </c>
      <c r="E52" s="263">
        <f>+'FT GAS'!AJ67</f>
        <v>884000</v>
      </c>
      <c r="F52" s="306">
        <f>E52/MCFS!AF15</f>
        <v>0.22853110214507558</v>
      </c>
      <c r="G52" s="413">
        <f>+'FT GAS'!AJ70</f>
        <v>4.7</v>
      </c>
      <c r="H52" s="413">
        <f>('FT GAS'!X67*'FT GAS'!X109+'FT GAS'!Y67*'FT GAS'!Y109+'FT GAS'!Z67*'FT GAS'!Z109+'FT GAS'!AA67*'FT GAS'!AA109+'FT GAS'!AB67*'FT GAS'!AB109+'FT GAS'!AC67*'FT GAS'!AC109+'FT GAS'!AD67*'FT GAS'!AD109+'FT GAS'!AE67*'FT GAS'!AE109+'FT GAS'!AF67*'FT GAS'!AF109+'FT GAS'!AG67*'FT GAS'!AG109)/'FT GAS'!AJ67</f>
        <v>4.3277188914027152</v>
      </c>
      <c r="I52" s="414">
        <f>G52-H52</f>
        <v>0.37228110859728503</v>
      </c>
      <c r="J52" s="415">
        <f>I52*E52</f>
        <v>329096.49999999994</v>
      </c>
    </row>
  </sheetData>
  <phoneticPr fontId="10" type="noConversion"/>
  <printOptions horizontalCentered="1" verticalCentered="1"/>
  <pageMargins left="0.75" right="0.75" top="1" bottom="1" header="0.5" footer="0.5"/>
  <pageSetup scale="3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R85"/>
  <sheetViews>
    <sheetView showGridLines="0" zoomScale="50" workbookViewId="0">
      <pane xSplit="1" ySplit="10" topLeftCell="B11" activePane="bottomRight" state="frozen"/>
      <selection activeCell="I74" sqref="I74"/>
      <selection pane="topRight" activeCell="I74" sqref="I74"/>
      <selection pane="bottomLeft" activeCell="I74" sqref="I74"/>
      <selection pane="bottomRight" activeCell="G11" sqref="G11"/>
    </sheetView>
  </sheetViews>
  <sheetFormatPr defaultRowHeight="20.25"/>
  <cols>
    <col min="1" max="1" width="36.21875" style="4" customWidth="1"/>
    <col min="2" max="2" width="13.33203125" style="4" customWidth="1"/>
    <col min="3" max="3" width="13.44140625" style="10" hidden="1" customWidth="1"/>
    <col min="4" max="4" width="8.109375" style="10" hidden="1" customWidth="1"/>
    <col min="5" max="5" width="9.21875" style="10" hidden="1" customWidth="1"/>
    <col min="6" max="6" width="6.33203125" style="10" customWidth="1"/>
    <col min="7" max="10" width="11.77734375" style="10" customWidth="1"/>
    <col min="11" max="11" width="17.88671875" style="10" bestFit="1" customWidth="1"/>
    <col min="12" max="13" width="11.77734375" style="10" customWidth="1"/>
    <col min="14" max="15" width="11.77734375" style="1" customWidth="1"/>
    <col min="16" max="18" width="10.77734375" style="1" customWidth="1"/>
    <col min="19" max="16384" width="8.88671875" style="1"/>
  </cols>
  <sheetData>
    <row r="1" spans="1:18">
      <c r="A1" s="2" t="s">
        <v>160</v>
      </c>
      <c r="B1" s="2"/>
      <c r="C1" s="11"/>
      <c r="D1" s="11"/>
      <c r="E1" s="11"/>
      <c r="F1" s="11"/>
    </row>
    <row r="2" spans="1:18">
      <c r="A2" s="111">
        <v>1000000</v>
      </c>
      <c r="B2" s="111"/>
      <c r="C2" s="22"/>
      <c r="D2" s="22"/>
      <c r="E2" s="22"/>
      <c r="F2" s="22"/>
    </row>
    <row r="3" spans="1:18">
      <c r="A3" s="2" t="str">
        <f ca="1">CELL("FILENAME",A1)</f>
        <v>H:\Gaspurch\GasCosts\Annual\FY1113\[1113pgc9Aug11.xlsx]YR SUMMARIES</v>
      </c>
      <c r="B3" s="2"/>
      <c r="C3" s="11"/>
      <c r="D3" s="11"/>
      <c r="E3" s="11"/>
      <c r="F3" s="11"/>
    </row>
    <row r="4" spans="1:18">
      <c r="A4" s="2" t="s">
        <v>115</v>
      </c>
      <c r="B4" s="2"/>
      <c r="C4" s="11"/>
      <c r="D4" s="11"/>
      <c r="E4" s="11"/>
      <c r="F4" s="11"/>
    </row>
    <row r="5" spans="1:18">
      <c r="A5" s="2" t="s">
        <v>116</v>
      </c>
      <c r="B5" s="2"/>
      <c r="C5" s="11"/>
      <c r="D5" s="11"/>
      <c r="E5" s="11"/>
      <c r="F5" s="11"/>
    </row>
    <row r="6" spans="1:18">
      <c r="A6" s="2" t="s">
        <v>162</v>
      </c>
      <c r="B6" s="2"/>
      <c r="C6" s="11"/>
      <c r="D6" s="11"/>
      <c r="E6" s="11"/>
      <c r="F6" s="11"/>
    </row>
    <row r="7" spans="1:18">
      <c r="A7" s="167" t="s">
        <v>166</v>
      </c>
      <c r="B7" s="328">
        <v>40764</v>
      </c>
      <c r="C7" s="395"/>
      <c r="D7" s="395"/>
      <c r="E7" s="395"/>
    </row>
    <row r="8" spans="1:18">
      <c r="G8" s="166"/>
      <c r="K8" s="166"/>
      <c r="O8" s="166"/>
    </row>
    <row r="9" spans="1:18">
      <c r="C9" s="12" t="s">
        <v>904</v>
      </c>
      <c r="D9" s="12" t="s">
        <v>904</v>
      </c>
      <c r="E9" s="12" t="s">
        <v>904</v>
      </c>
      <c r="F9" s="176"/>
      <c r="G9" s="12" t="s">
        <v>757</v>
      </c>
      <c r="H9" s="12" t="s">
        <v>757</v>
      </c>
      <c r="I9" s="12" t="s">
        <v>757</v>
      </c>
      <c r="K9" s="12" t="s">
        <v>869</v>
      </c>
      <c r="L9" s="12" t="s">
        <v>869</v>
      </c>
      <c r="M9" s="12" t="s">
        <v>869</v>
      </c>
      <c r="N9" s="10"/>
      <c r="O9" s="12" t="s">
        <v>896</v>
      </c>
      <c r="P9" s="12" t="s">
        <v>896</v>
      </c>
      <c r="Q9" s="12" t="s">
        <v>896</v>
      </c>
    </row>
    <row r="10" spans="1:18">
      <c r="C10" s="11" t="s">
        <v>154</v>
      </c>
      <c r="D10" s="11" t="s">
        <v>155</v>
      </c>
      <c r="E10" s="11" t="s">
        <v>156</v>
      </c>
      <c r="G10" s="11" t="s">
        <v>154</v>
      </c>
      <c r="H10" s="11" t="s">
        <v>155</v>
      </c>
      <c r="I10" s="11" t="s">
        <v>156</v>
      </c>
      <c r="J10" s="11" t="s">
        <v>769</v>
      </c>
      <c r="K10" s="11" t="s">
        <v>154</v>
      </c>
      <c r="L10" s="11" t="s">
        <v>155</v>
      </c>
      <c r="M10" s="11" t="s">
        <v>156</v>
      </c>
      <c r="N10" s="11" t="s">
        <v>870</v>
      </c>
      <c r="O10" s="11" t="s">
        <v>154</v>
      </c>
      <c r="P10" s="11" t="s">
        <v>155</v>
      </c>
      <c r="Q10" s="11" t="s">
        <v>156</v>
      </c>
      <c r="R10" s="11" t="s">
        <v>905</v>
      </c>
    </row>
    <row r="11" spans="1:18">
      <c r="A11" s="4" t="s">
        <v>157</v>
      </c>
      <c r="C11" s="166">
        <f>+'[2]YR SUMMARIES'!C11</f>
        <v>103.42265333676838</v>
      </c>
      <c r="D11" s="148">
        <f>+'[2]YR SUMMARIES'!D11</f>
        <v>15.405617499999998</v>
      </c>
      <c r="E11" s="29">
        <f>+'[2]YR SUMMARIES'!E11</f>
        <v>6.7133078785558835</v>
      </c>
      <c r="G11" s="179">
        <f>+'YR REPORTS'!P23/'YR SUMMARIES'!$A$2</f>
        <v>92.591799399489034</v>
      </c>
      <c r="H11" s="148">
        <f>+'YR REPORTS'!P12/'YR SUMMARIES'!$A$2</f>
        <v>15.4720257</v>
      </c>
      <c r="I11" s="16">
        <f>G11/H11</f>
        <v>5.9844652015727346</v>
      </c>
      <c r="K11" s="179">
        <f>'YR REPORTS'!AG23/'YR SUMMARIES'!A2</f>
        <v>93.833720216954603</v>
      </c>
      <c r="L11" s="148">
        <f>+'YR REPORTS'!AG12/'YR SUMMARIES'!A2</f>
        <v>14.573559221953222</v>
      </c>
      <c r="M11" s="16">
        <f>K11/L11</f>
        <v>6.4386275711979808</v>
      </c>
      <c r="N11" s="10"/>
      <c r="O11" s="179">
        <f>'YR REPORTS'!AW23/'YR SUMMARIES'!A2</f>
        <v>102.72503147997644</v>
      </c>
      <c r="P11" s="148">
        <f>+'YR REPORTS'!AW12/'YR SUMMARIES'!A2</f>
        <v>14.736375260402724</v>
      </c>
      <c r="Q11" s="16">
        <f>O11/P11</f>
        <v>6.9708479639496579</v>
      </c>
      <c r="R11" s="10"/>
    </row>
    <row r="12" spans="1:18" s="33" customFormat="1">
      <c r="A12" s="2" t="s">
        <v>158</v>
      </c>
      <c r="B12" s="2"/>
      <c r="C12" s="177">
        <f>+'[2]YR SUMMARIES'!C12</f>
        <v>81.915524888048068</v>
      </c>
      <c r="D12" s="178">
        <f>+'[2]YR SUMMARIES'!D12</f>
        <v>11.8072588</v>
      </c>
      <c r="E12" s="186">
        <f>+'[2]YR SUMMARIES'!E12</f>
        <v>6.9377258748701323</v>
      </c>
      <c r="F12" s="11"/>
      <c r="G12" s="180">
        <f>SUM('YR REPORTS'!P33,'YR REPORTS'!P35,'YR REPORTS'!P59)/$A$2</f>
        <v>75.445166713538015</v>
      </c>
      <c r="H12" s="178">
        <f>+'YR REPORTS'!P10/'YR SUMMARIES'!$A$2</f>
        <v>11.844755900000001</v>
      </c>
      <c r="I12" s="197">
        <f>G12/H12</f>
        <v>6.3694994941633212</v>
      </c>
      <c r="J12" s="168">
        <f>(I12-E12)/E12</f>
        <v>-8.1903838657714015E-2</v>
      </c>
      <c r="K12" s="177">
        <f>SUM('YR REPORTS'!AG33,'YR REPORTS'!AG35,'YR REPORTS'!AG59)/A2</f>
        <v>75.120427567739938</v>
      </c>
      <c r="L12" s="178">
        <f>+'YR REPORTS'!AG10/'YR SUMMARIES'!A2</f>
        <v>11.128459221953221</v>
      </c>
      <c r="M12" s="34">
        <f>K12/L12</f>
        <v>6.7502990368647913</v>
      </c>
      <c r="N12" s="168">
        <f>(M12-I12)/I12</f>
        <v>5.9784845426303121E-2</v>
      </c>
      <c r="O12" s="177">
        <f>SUM('YR REPORTS'!AW33,'YR REPORTS'!AW35,'YR REPORTS'!AW59)/A2</f>
        <v>81.718339710342917</v>
      </c>
      <c r="P12" s="178">
        <f>+'YR REPORTS'!AW10/'YR SUMMARIES'!A2</f>
        <v>11.209675260402724</v>
      </c>
      <c r="Q12" s="34">
        <f>O12/P12</f>
        <v>7.2899827882620629</v>
      </c>
      <c r="R12" s="168">
        <f>(Q12-M12)/M12</f>
        <v>7.994960644705458E-2</v>
      </c>
    </row>
    <row r="13" spans="1:18">
      <c r="A13" s="4" t="s">
        <v>159</v>
      </c>
      <c r="C13" s="166">
        <f>+'[2]YR SUMMARIES'!C13</f>
        <v>21.507128448720312</v>
      </c>
      <c r="D13" s="148">
        <f>+'[2]YR SUMMARIES'!D13</f>
        <v>3.5983587000000004</v>
      </c>
      <c r="E13" s="29">
        <f>+'[2]YR SUMMARIES'!E13</f>
        <v>5.9769273276508841</v>
      </c>
      <c r="G13" s="179">
        <f>+'YR REPORTS'!P71/'YR SUMMARIES'!$A$2</f>
        <v>18.793889607071549</v>
      </c>
      <c r="H13" s="148">
        <f>+'YR REPORTS'!P11/'YR SUMMARIES'!$A$2</f>
        <v>3.6272698000000001</v>
      </c>
      <c r="I13" s="17">
        <f>G13/H13</f>
        <v>5.1812770053861303</v>
      </c>
      <c r="K13" s="179">
        <f>+'YR REPORTS'!AG71/'YR SUMMARIES'!A2</f>
        <v>18.713292649214658</v>
      </c>
      <c r="L13" s="148">
        <f>+'YR REPORTS'!AG66/'YR SUMMARIES'!A2</f>
        <v>3.4451000000000001</v>
      </c>
      <c r="M13" s="16">
        <f>K13/L13</f>
        <v>5.4318576091302599</v>
      </c>
      <c r="N13" s="10"/>
      <c r="O13" s="179">
        <f>+'YR REPORTS'!AW71/'YR SUMMARIES'!A2</f>
        <v>21.006691769633509</v>
      </c>
      <c r="P13" s="148">
        <f>+'YR REPORTS'!AW66/'YR SUMMARIES'!A2</f>
        <v>3.5266999999999999</v>
      </c>
      <c r="Q13" s="16">
        <f>O13/P13</f>
        <v>5.9564725578114128</v>
      </c>
      <c r="R13" s="10"/>
    </row>
    <row r="14" spans="1:18">
      <c r="N14" s="10"/>
    </row>
    <row r="15" spans="1:18">
      <c r="C15" s="12" t="s">
        <v>904</v>
      </c>
      <c r="D15" s="12" t="s">
        <v>904</v>
      </c>
      <c r="E15" s="12" t="s">
        <v>904</v>
      </c>
      <c r="G15" s="12" t="s">
        <v>757</v>
      </c>
      <c r="H15" s="12" t="s">
        <v>757</v>
      </c>
      <c r="I15" s="12" t="s">
        <v>757</v>
      </c>
      <c r="J15" s="1"/>
      <c r="K15" s="12" t="s">
        <v>869</v>
      </c>
      <c r="L15" s="12" t="s">
        <v>869</v>
      </c>
      <c r="M15" s="12" t="s">
        <v>869</v>
      </c>
      <c r="N15" s="10"/>
    </row>
    <row r="16" spans="1:18">
      <c r="C16" s="11" t="s">
        <v>154</v>
      </c>
      <c r="D16" s="11" t="s">
        <v>155</v>
      </c>
      <c r="E16" s="11" t="s">
        <v>156</v>
      </c>
      <c r="G16" s="11" t="s">
        <v>154</v>
      </c>
      <c r="H16" s="11" t="s">
        <v>155</v>
      </c>
      <c r="I16" s="11" t="s">
        <v>156</v>
      </c>
      <c r="J16" s="1"/>
      <c r="K16" s="11" t="s">
        <v>154</v>
      </c>
      <c r="L16" s="11" t="s">
        <v>155</v>
      </c>
      <c r="M16" s="11" t="s">
        <v>156</v>
      </c>
      <c r="N16" s="10"/>
    </row>
    <row r="17" spans="1:17">
      <c r="A17" s="4" t="s">
        <v>168</v>
      </c>
      <c r="C17" s="179">
        <f>+'[2]YR SUMMARIES'!C17</f>
        <v>-2.2015080000000005</v>
      </c>
      <c r="D17" s="396">
        <f>+'[2]YR SUMMARIES'!D17</f>
        <v>4.3836562499999987</v>
      </c>
      <c r="E17" s="29">
        <f>+'[2]YR SUMMARIES'!E17</f>
        <v>-0.50220817382749872</v>
      </c>
      <c r="G17" s="179">
        <f>SUM(G18:G19)</f>
        <v>-0.61694850000000057</v>
      </c>
      <c r="H17" s="148">
        <f>SUM(H18:H19)</f>
        <v>3.4266796875000001</v>
      </c>
      <c r="I17" s="29">
        <f>G17/H17</f>
        <v>-0.1800426524400672</v>
      </c>
      <c r="J17" s="1"/>
      <c r="K17" s="179">
        <f>SUM(K18:K19)</f>
        <v>0</v>
      </c>
      <c r="L17" s="148">
        <f>SUM(L18:L19)</f>
        <v>1.4984765624999998</v>
      </c>
      <c r="M17" s="29">
        <f>K17/L17</f>
        <v>0</v>
      </c>
      <c r="N17" s="10"/>
    </row>
    <row r="18" spans="1:17">
      <c r="A18" s="2" t="s">
        <v>169</v>
      </c>
      <c r="B18" s="2"/>
      <c r="C18" s="179">
        <f>+'[2]YR SUMMARIES'!C18</f>
        <v>-1.7571565</v>
      </c>
      <c r="D18" s="396">
        <f>+'[2]YR SUMMARIES'!D18</f>
        <v>3.7927265624999991</v>
      </c>
      <c r="E18" s="29">
        <f>+'[2]YR SUMMARIES'!E18</f>
        <v>-0.4632963834971956</v>
      </c>
      <c r="F18" s="11"/>
      <c r="G18" s="179">
        <f>+'HEDGE REPORT'!J12/'YR SUMMARIES'!A2</f>
        <v>-0.80967699999999998</v>
      </c>
      <c r="H18" s="275">
        <f>+('HEDGE REPORT'!E12/A2/1.04*(1-0.05))*(1-0.025)</f>
        <v>2.6055234375</v>
      </c>
      <c r="I18" s="229">
        <f>G18/H18</f>
        <v>-0.31075406513206616</v>
      </c>
      <c r="J18" s="1"/>
      <c r="K18" s="179">
        <f>+'HEDGE REPORT'!J38/'YR SUMMARIES'!A2</f>
        <v>0</v>
      </c>
      <c r="L18" s="275">
        <f>+('HEDGE REPORT'!E38/A2/1.04*(1-0.05))*(1-0.025)</f>
        <v>1.4984765624999998</v>
      </c>
      <c r="M18" s="229">
        <f>K18/L18</f>
        <v>0</v>
      </c>
      <c r="N18" s="10"/>
    </row>
    <row r="19" spans="1:17">
      <c r="A19" s="2" t="s">
        <v>462</v>
      </c>
      <c r="B19" s="2"/>
      <c r="C19" s="179">
        <f>+'[2]YR SUMMARIES'!C19</f>
        <v>-0.44435150000000029</v>
      </c>
      <c r="D19" s="396">
        <f>+'[2]YR SUMMARIES'!D19</f>
        <v>0.59092968749999986</v>
      </c>
      <c r="E19" s="29">
        <f>+'[2]YR SUMMARIES'!E19</f>
        <v>-0.75195325162945104</v>
      </c>
      <c r="F19" s="11"/>
      <c r="G19" s="274">
        <f>'HEDGE REPORT'!J26/'YR SUMMARIES'!A2</f>
        <v>0.19272849999999944</v>
      </c>
      <c r="H19" s="275">
        <f>+('HEDGE REPORT'!E26/A2/1.04*(1-0.05))*(1-0.025)</f>
        <v>0.82115624999999992</v>
      </c>
      <c r="I19" s="229">
        <f>G19/H19</f>
        <v>0.23470380941507718</v>
      </c>
      <c r="J19" s="1"/>
      <c r="N19" s="10"/>
    </row>
    <row r="20" spans="1:17">
      <c r="A20" s="2"/>
      <c r="B20" s="2"/>
      <c r="C20" s="11"/>
      <c r="D20" s="11"/>
      <c r="E20" s="11"/>
      <c r="F20" s="11"/>
      <c r="G20" s="274"/>
      <c r="H20" s="275"/>
      <c r="I20" s="229"/>
      <c r="J20" s="1"/>
      <c r="N20" s="10"/>
    </row>
    <row r="21" spans="1:17">
      <c r="A21" s="2"/>
      <c r="B21" s="2"/>
      <c r="C21" s="12" t="s">
        <v>904</v>
      </c>
      <c r="D21" s="12" t="s">
        <v>904</v>
      </c>
      <c r="E21" s="12" t="s">
        <v>904</v>
      </c>
      <c r="F21" s="11"/>
      <c r="G21" s="12" t="s">
        <v>757</v>
      </c>
      <c r="H21" s="12" t="s">
        <v>757</v>
      </c>
      <c r="I21" s="12" t="s">
        <v>757</v>
      </c>
      <c r="J21" s="1"/>
      <c r="K21" s="12" t="s">
        <v>869</v>
      </c>
      <c r="L21" s="12" t="s">
        <v>869</v>
      </c>
      <c r="M21" s="12" t="s">
        <v>869</v>
      </c>
      <c r="N21" s="10"/>
    </row>
    <row r="22" spans="1:17">
      <c r="C22" s="11" t="s">
        <v>154</v>
      </c>
      <c r="D22" s="11" t="s">
        <v>155</v>
      </c>
      <c r="E22" s="11" t="s">
        <v>156</v>
      </c>
      <c r="G22" s="11" t="s">
        <v>154</v>
      </c>
      <c r="H22" s="11" t="s">
        <v>155</v>
      </c>
      <c r="I22" s="11" t="s">
        <v>156</v>
      </c>
      <c r="J22" s="1"/>
      <c r="K22" s="11" t="s">
        <v>154</v>
      </c>
      <c r="L22" s="11" t="s">
        <v>155</v>
      </c>
      <c r="M22" s="11" t="s">
        <v>156</v>
      </c>
      <c r="N22" s="10"/>
    </row>
    <row r="23" spans="1:17">
      <c r="A23" s="4" t="s">
        <v>321</v>
      </c>
      <c r="C23" s="179">
        <f>+'[2]YR SUMMARIES'!C23</f>
        <v>0.70929113696990553</v>
      </c>
      <c r="D23" s="148">
        <f>+'[2]YR SUMMARIES'!D23</f>
        <v>2.90625</v>
      </c>
      <c r="E23" s="29">
        <f>+'[2]YR SUMMARIES'!E23</f>
        <v>0.24405716540899974</v>
      </c>
      <c r="G23" s="274">
        <f>+'HEDGE REPORT'!J16/A2</f>
        <v>-0.67078555404518114</v>
      </c>
      <c r="H23" s="275">
        <f>+'HEDGE REPORT'!E16/A2*(1-0.025)/1.04</f>
        <v>2.90625</v>
      </c>
      <c r="I23" s="229">
        <f>G23/H23</f>
        <v>-0.23080793257468599</v>
      </c>
      <c r="J23" s="1"/>
      <c r="K23" s="274">
        <f>+'HEDGE REPORT'!J42/A2</f>
        <v>0.63438721721253666</v>
      </c>
      <c r="L23" s="275">
        <f>+'HEDGE REPORT'!E42/A2*(1-0.025)/1.04</f>
        <v>2.90625</v>
      </c>
      <c r="M23" s="229">
        <f>K23/L23</f>
        <v>0.21828377366452875</v>
      </c>
    </row>
    <row r="24" spans="1:17">
      <c r="A24" s="4" t="s">
        <v>326</v>
      </c>
      <c r="C24" s="179">
        <f>+'[2]YR SUMMARIES'!C24</f>
        <v>-1.0478653630300945</v>
      </c>
      <c r="D24" s="148">
        <f>+'[2]YR SUMMARIES'!D24</f>
        <v>6.6989765624999986</v>
      </c>
      <c r="E24" s="29">
        <f>+'[2]YR SUMMARIES'!E24</f>
        <v>-0.15642170908552044</v>
      </c>
      <c r="G24" s="179">
        <f>SUM(G18,G23)</f>
        <v>-1.480462554045181</v>
      </c>
      <c r="H24" s="148">
        <f>SUM(H18,H23)</f>
        <v>5.5117734375000005</v>
      </c>
      <c r="I24" s="29">
        <f>G24/H24</f>
        <v>-0.26860003787033032</v>
      </c>
      <c r="J24" s="1"/>
      <c r="K24" s="179">
        <f>SUM(K18,K23)</f>
        <v>0.63438721721253666</v>
      </c>
      <c r="L24" s="148">
        <f>SUM(L18,L23)</f>
        <v>4.4047265624999996</v>
      </c>
      <c r="M24" s="29">
        <f>K24/L24</f>
        <v>0.14402419950728479</v>
      </c>
    </row>
    <row r="25" spans="1:17">
      <c r="A25" s="2" t="s">
        <v>322</v>
      </c>
      <c r="B25" s="2"/>
      <c r="C25" s="180">
        <f>+'[2]YR SUMMARIES'!C25</f>
        <v>80.86765952501797</v>
      </c>
      <c r="D25" s="178">
        <f>+'[2]YR SUMMARIES'!D25</f>
        <v>11.8072588</v>
      </c>
      <c r="E25" s="186">
        <f>+'[2]YR SUMMARIES'!E25</f>
        <v>6.8489783187455817</v>
      </c>
      <c r="F25" s="11"/>
      <c r="G25" s="177">
        <f>SUM(G12,G24)</f>
        <v>73.96470415949284</v>
      </c>
      <c r="H25" s="178">
        <f>H12</f>
        <v>11.844755900000001</v>
      </c>
      <c r="I25" s="186">
        <f>G25/H25</f>
        <v>6.2445106327174571</v>
      </c>
      <c r="J25" s="168">
        <f>(I25-I12)/I12</f>
        <v>-1.9623027140577901E-2</v>
      </c>
      <c r="K25" s="177">
        <f>SUM(K12,K24)</f>
        <v>75.754814784952472</v>
      </c>
      <c r="L25" s="178">
        <f>L12</f>
        <v>11.128459221953221</v>
      </c>
      <c r="M25" s="186">
        <f>K25/L25</f>
        <v>6.8073048814799266</v>
      </c>
      <c r="N25" s="168">
        <f>(M25-M12)/M12</f>
        <v>8.444936187836205E-3</v>
      </c>
    </row>
    <row r="26" spans="1:17">
      <c r="J26" s="1"/>
      <c r="N26" s="10"/>
    </row>
    <row r="27" spans="1:17">
      <c r="A27" s="2" t="s">
        <v>276</v>
      </c>
      <c r="B27" s="2"/>
      <c r="C27" s="11"/>
      <c r="D27" s="11"/>
      <c r="E27" s="11"/>
      <c r="F27" s="11"/>
      <c r="I27" s="34">
        <f>+'YR REPORTS'!P76</f>
        <v>6.8695394206756761</v>
      </c>
      <c r="J27" s="1"/>
      <c r="M27" s="34">
        <f>+'YR REPORTS'!AG76</f>
        <v>6.4999999999999991</v>
      </c>
      <c r="N27" s="10"/>
      <c r="Q27" s="115">
        <f>+'YR REPORTS'!AW76</f>
        <v>6.4999999999999982</v>
      </c>
    </row>
    <row r="28" spans="1:17">
      <c r="A28" s="2" t="s">
        <v>275</v>
      </c>
      <c r="B28" s="2"/>
      <c r="C28" s="11"/>
      <c r="D28" s="11"/>
      <c r="E28" s="11"/>
      <c r="F28" s="177">
        <f>+'YR REPORTS'!B90/'YR SUMMARIES'!A2</f>
        <v>2.5487390956687017</v>
      </c>
      <c r="G28" s="177">
        <f>+'YR REPORTS'!O90/'YR SUMMARIES'!A2</f>
        <v>8.3582289481306749</v>
      </c>
      <c r="J28" s="1"/>
      <c r="K28" s="177">
        <f>+'YR REPORTS'!AF90/'YR SUMMARIES'!A2</f>
        <v>4.4646853970866651</v>
      </c>
      <c r="N28" s="10"/>
      <c r="O28" s="304">
        <f>+'YR REPORTS'!AV90/A2</f>
        <v>-5.4988660466385397</v>
      </c>
    </row>
    <row r="29" spans="1:17">
      <c r="A29" s="2" t="s">
        <v>293</v>
      </c>
      <c r="B29" s="2"/>
      <c r="C29" s="11"/>
      <c r="D29" s="11"/>
      <c r="E29" s="11"/>
      <c r="F29" s="11"/>
      <c r="G29" s="177">
        <f>G28-F28</f>
        <v>5.8094898524619731</v>
      </c>
      <c r="J29" s="1"/>
      <c r="K29" s="177">
        <f>K28-G28</f>
        <v>-3.8935435510440097</v>
      </c>
      <c r="N29" s="10"/>
      <c r="O29" s="304">
        <f>O28-K28</f>
        <v>-9.9635514437252048</v>
      </c>
    </row>
    <row r="31" spans="1:17">
      <c r="G31" s="166"/>
      <c r="J31" s="166"/>
      <c r="K31" s="166"/>
      <c r="O31" s="417"/>
    </row>
    <row r="32" spans="1:17">
      <c r="G32" s="179"/>
      <c r="J32" s="166"/>
    </row>
    <row r="33" spans="1:14">
      <c r="G33" s="181"/>
      <c r="J33" s="166"/>
    </row>
    <row r="34" spans="1:14">
      <c r="G34" s="166"/>
      <c r="J34" s="166"/>
    </row>
    <row r="35" spans="1:14">
      <c r="G35" s="166"/>
    </row>
    <row r="36" spans="1:14">
      <c r="A36" s="2" t="s">
        <v>788</v>
      </c>
      <c r="B36" s="2"/>
      <c r="C36" s="11"/>
      <c r="D36" s="11"/>
      <c r="E36" s="11"/>
      <c r="G36" s="11" t="s">
        <v>750</v>
      </c>
      <c r="H36" s="11" t="s">
        <v>748</v>
      </c>
      <c r="I36" s="11" t="s">
        <v>749</v>
      </c>
      <c r="J36" s="168" t="s">
        <v>820</v>
      </c>
      <c r="K36" s="168" t="s">
        <v>823</v>
      </c>
    </row>
    <row r="37" spans="1:14">
      <c r="A37" s="4" t="s">
        <v>828</v>
      </c>
      <c r="F37" s="166"/>
      <c r="G37" s="166">
        <f>H37*I37</f>
        <v>1.901842105263158</v>
      </c>
      <c r="H37" s="318">
        <f>9.9*365/1000/0.95</f>
        <v>3.803684210526316</v>
      </c>
      <c r="I37" s="16">
        <v>0.5</v>
      </c>
      <c r="J37" s="175">
        <f>G37/$G$11</f>
        <v>2.0540070693060245E-2</v>
      </c>
      <c r="K37" s="124">
        <f>H37/(MCFS!$P$17/1000000)</f>
        <v>0.23046421996619926</v>
      </c>
      <c r="L37" s="124"/>
      <c r="M37" s="6" t="s">
        <v>906</v>
      </c>
    </row>
    <row r="38" spans="1:14" ht="23.25" customHeight="1">
      <c r="A38" s="4" t="s">
        <v>893</v>
      </c>
      <c r="G38" s="166">
        <f>H38*I38</f>
        <v>1.0315789473684212</v>
      </c>
      <c r="H38" s="318">
        <f>(10*(30+31)+15*(31+31+28))/1000/0.95</f>
        <v>2.0631578947368423</v>
      </c>
      <c r="I38" s="16">
        <v>0.5</v>
      </c>
      <c r="J38" s="175">
        <f>G38/$G$11</f>
        <v>1.1141148072062566E-2</v>
      </c>
      <c r="K38" s="282">
        <f>H38/(MCFS!$P$17/1000000)</f>
        <v>0.12500619098761603</v>
      </c>
      <c r="L38" s="134">
        <f>K38+K39</f>
        <v>0.24618566184295809</v>
      </c>
      <c r="M38" s="193" t="s">
        <v>819</v>
      </c>
      <c r="N38" s="331"/>
    </row>
    <row r="39" spans="1:14">
      <c r="A39" s="4" t="s">
        <v>894</v>
      </c>
      <c r="G39" s="166">
        <f>H39*I39</f>
        <v>1</v>
      </c>
      <c r="H39" s="318">
        <f>2</f>
        <v>2</v>
      </c>
      <c r="I39" s="16">
        <v>0.5</v>
      </c>
      <c r="J39" s="175">
        <f>G39/$G$11</f>
        <v>1.0800092518836161E-2</v>
      </c>
      <c r="K39" s="282">
        <f>H39/(MCFS!$P$17/1000000)</f>
        <v>0.12117947085534207</v>
      </c>
      <c r="L39" s="24"/>
    </row>
    <row r="40" spans="1:14">
      <c r="A40" s="4" t="s">
        <v>157</v>
      </c>
      <c r="G40" s="166">
        <f>SUM(G37:G39)</f>
        <v>3.9334210526315792</v>
      </c>
      <c r="H40" s="148">
        <f>SUM(H37:H39)</f>
        <v>7.8668421052631583</v>
      </c>
      <c r="I40" s="16"/>
      <c r="J40" s="175">
        <f>SUM(J37:J39)</f>
        <v>4.2481311283958968E-2</v>
      </c>
      <c r="K40" s="124">
        <f>SUM(K37:K39)</f>
        <v>0.47664988180915735</v>
      </c>
      <c r="L40" s="329" t="s">
        <v>818</v>
      </c>
      <c r="M40" s="330"/>
    </row>
    <row r="41" spans="1:14">
      <c r="G41" s="166"/>
      <c r="H41" s="148"/>
      <c r="I41" s="16"/>
      <c r="J41" s="175"/>
      <c r="K41" s="124"/>
    </row>
    <row r="42" spans="1:14">
      <c r="G42" s="166"/>
      <c r="H42" s="148"/>
      <c r="I42" s="16"/>
      <c r="J42" s="171" t="s">
        <v>821</v>
      </c>
      <c r="K42" s="168" t="s">
        <v>822</v>
      </c>
    </row>
    <row r="43" spans="1:14">
      <c r="A43" s="4" t="s">
        <v>828</v>
      </c>
      <c r="G43" s="166">
        <f t="shared" ref="G43:H45" si="0">G37</f>
        <v>1.901842105263158</v>
      </c>
      <c r="H43" s="148">
        <f t="shared" si="0"/>
        <v>3.803684210526316</v>
      </c>
      <c r="I43" s="16"/>
      <c r="J43" s="175">
        <f>G43/G12</f>
        <v>2.5208269636203057E-2</v>
      </c>
      <c r="K43" s="124">
        <f>H43/(MCFS!$P$13/1000000)</f>
        <v>0.29852525695254806</v>
      </c>
      <c r="L43" s="124"/>
    </row>
    <row r="44" spans="1:14">
      <c r="A44" s="4" t="s">
        <v>893</v>
      </c>
      <c r="G44" s="166">
        <f t="shared" si="0"/>
        <v>1.0315789473684212</v>
      </c>
      <c r="H44" s="148">
        <f t="shared" si="0"/>
        <v>2.0631578947368423</v>
      </c>
      <c r="I44" s="16"/>
      <c r="J44" s="175">
        <f>G44/G12</f>
        <v>1.3673227753413033E-2</v>
      </c>
      <c r="K44" s="124">
        <f>H44/(MCFS!$P$13/1000000)</f>
        <v>0.16192320565296645</v>
      </c>
      <c r="L44" s="124"/>
    </row>
    <row r="45" spans="1:14">
      <c r="A45" s="4" t="s">
        <v>894</v>
      </c>
      <c r="G45" s="166">
        <f t="shared" si="0"/>
        <v>1</v>
      </c>
      <c r="H45" s="148">
        <f t="shared" si="0"/>
        <v>2</v>
      </c>
      <c r="I45" s="16"/>
      <c r="J45" s="175">
        <f>G45/G12</f>
        <v>1.325465955687998E-2</v>
      </c>
      <c r="K45" s="124">
        <f>H45/(MCFS!$P$13/1000000)</f>
        <v>0.15696637282685522</v>
      </c>
    </row>
    <row r="46" spans="1:14">
      <c r="A46" s="4" t="s">
        <v>157</v>
      </c>
      <c r="G46" s="166">
        <f>SUM(G43:G45)</f>
        <v>3.9334210526315792</v>
      </c>
      <c r="H46" s="148">
        <f>SUM(H43:H45)</f>
        <v>7.8668421052631583</v>
      </c>
      <c r="I46" s="16"/>
      <c r="J46" s="175">
        <f>SUM(J43:J45)</f>
        <v>5.2136156946496072E-2</v>
      </c>
      <c r="K46" s="124">
        <f>SUM(K43:K45)</f>
        <v>0.61741483543236975</v>
      </c>
    </row>
    <row r="47" spans="1:14">
      <c r="G47" s="166"/>
      <c r="H47" s="148"/>
      <c r="I47" s="16"/>
      <c r="J47" s="175"/>
      <c r="K47" s="124"/>
    </row>
    <row r="48" spans="1:14">
      <c r="A48" s="2" t="s">
        <v>826</v>
      </c>
      <c r="B48" s="2"/>
      <c r="C48" s="11"/>
      <c r="D48" s="11"/>
      <c r="E48" s="11"/>
      <c r="G48" s="166"/>
      <c r="H48" s="11" t="s">
        <v>748</v>
      </c>
      <c r="I48" s="16"/>
      <c r="J48" s="175"/>
      <c r="K48" s="168" t="s">
        <v>823</v>
      </c>
    </row>
    <row r="49" spans="1:11">
      <c r="A49" s="4" t="s">
        <v>827</v>
      </c>
      <c r="G49" s="166"/>
      <c r="H49" s="318">
        <f>13.5*365/1000/0.95</f>
        <v>5.1868421052631586</v>
      </c>
      <c r="I49" s="16"/>
      <c r="J49" s="175"/>
      <c r="K49" s="124">
        <f>H49/(MCFS!$P$17/1000000)</f>
        <v>0.31426939086299899</v>
      </c>
    </row>
    <row r="50" spans="1:11">
      <c r="A50" s="4" t="s">
        <v>829</v>
      </c>
      <c r="G50" s="166"/>
      <c r="H50" s="318">
        <f>(5*(30+31)+7.5*(31+31+28))/1000/0.97</f>
        <v>1.0103092783505154</v>
      </c>
      <c r="I50" s="16"/>
      <c r="J50" s="175"/>
      <c r="K50" s="124">
        <f>H50/(MCFS!$P$17/1000000)</f>
        <v>6.1214371875378981E-2</v>
      </c>
    </row>
    <row r="51" spans="1:11">
      <c r="A51" s="4" t="s">
        <v>830</v>
      </c>
      <c r="G51" s="166"/>
      <c r="H51" s="318">
        <f>1.1</f>
        <v>1.1000000000000001</v>
      </c>
      <c r="I51" s="16"/>
      <c r="J51" s="175"/>
      <c r="K51" s="124">
        <f>H51/(MCFS!$P$17/1000000)</f>
        <v>6.6648708970438147E-2</v>
      </c>
    </row>
    <row r="52" spans="1:11">
      <c r="A52" s="4" t="s">
        <v>157</v>
      </c>
      <c r="G52" s="166"/>
      <c r="H52" s="148">
        <f>SUM(H49:H51)</f>
        <v>7.2971513836136737</v>
      </c>
      <c r="I52" s="16"/>
      <c r="J52" s="175"/>
      <c r="K52" s="124"/>
    </row>
    <row r="53" spans="1:11">
      <c r="G53" s="166"/>
      <c r="H53" s="148"/>
      <c r="I53" s="16"/>
      <c r="J53" s="175"/>
      <c r="K53" s="124"/>
    </row>
    <row r="54" spans="1:11">
      <c r="A54" s="2"/>
      <c r="B54" s="2"/>
      <c r="C54" s="11"/>
      <c r="D54" s="11"/>
      <c r="E54" s="11"/>
      <c r="G54" s="166"/>
      <c r="H54" s="11" t="s">
        <v>748</v>
      </c>
      <c r="I54" s="16"/>
      <c r="J54" s="175"/>
      <c r="K54" s="168" t="s">
        <v>823</v>
      </c>
    </row>
    <row r="55" spans="1:11">
      <c r="A55" s="2" t="s">
        <v>831</v>
      </c>
      <c r="B55" s="2"/>
      <c r="C55" s="11"/>
      <c r="D55" s="11"/>
      <c r="E55" s="11"/>
      <c r="G55" s="166"/>
      <c r="H55" s="148">
        <f>SUM(H40,H52)</f>
        <v>15.163993488876832</v>
      </c>
      <c r="I55" s="16"/>
      <c r="J55" s="175"/>
      <c r="K55" s="124">
        <f>H55/(MCFS!$P$17/1000000)</f>
        <v>0.91878235351797344</v>
      </c>
    </row>
    <row r="56" spans="1:11">
      <c r="G56" s="166"/>
      <c r="H56" s="148"/>
      <c r="I56" s="16"/>
      <c r="J56" s="175"/>
      <c r="K56" s="124"/>
    </row>
    <row r="57" spans="1:11">
      <c r="A57" s="2" t="s">
        <v>832</v>
      </c>
      <c r="B57" s="2"/>
      <c r="C57" s="11"/>
      <c r="D57" s="11"/>
      <c r="E57" s="11"/>
      <c r="G57" s="166"/>
      <c r="H57" s="318">
        <f>15.9-H55</f>
        <v>0.73600651112316839</v>
      </c>
      <c r="I57" s="16"/>
      <c r="J57" s="175"/>
      <c r="K57" s="124">
        <f>H57/(MCFS!$P$17/1000000)</f>
        <v>4.4594439781995988E-2</v>
      </c>
    </row>
    <row r="58" spans="1:11">
      <c r="A58" s="113" t="s">
        <v>835</v>
      </c>
      <c r="B58" s="113"/>
      <c r="C58" s="11"/>
      <c r="D58" s="11"/>
      <c r="E58" s="11"/>
      <c r="F58" s="124">
        <v>0.5</v>
      </c>
      <c r="G58" s="166"/>
      <c r="H58" s="148">
        <f>F58*H57</f>
        <v>0.3680032555615842</v>
      </c>
      <c r="I58" s="16"/>
      <c r="J58" s="175"/>
      <c r="K58" s="124">
        <f>H58/(MCFS!$P$17/1000000)</f>
        <v>2.2297219890997994E-2</v>
      </c>
    </row>
    <row r="59" spans="1:11">
      <c r="A59" s="113" t="s">
        <v>190</v>
      </c>
      <c r="B59" s="113"/>
      <c r="C59" s="11"/>
      <c r="D59" s="11"/>
      <c r="E59" s="11"/>
      <c r="F59" s="124">
        <v>0.5</v>
      </c>
      <c r="G59" s="166"/>
      <c r="H59" s="148">
        <f>F59*H57</f>
        <v>0.3680032555615842</v>
      </c>
      <c r="I59" s="16"/>
      <c r="J59" s="175"/>
      <c r="K59" s="124">
        <f>H59/(MCFS!$P$17/1000000)</f>
        <v>2.2297219890997994E-2</v>
      </c>
    </row>
    <row r="60" spans="1:11">
      <c r="A60" s="113"/>
      <c r="B60" s="113"/>
      <c r="C60" s="11"/>
      <c r="D60" s="11"/>
      <c r="E60" s="11"/>
      <c r="F60" s="124"/>
      <c r="G60" s="166"/>
      <c r="H60" s="148"/>
      <c r="I60" s="16"/>
      <c r="J60" s="175"/>
      <c r="K60" s="124"/>
    </row>
    <row r="61" spans="1:11">
      <c r="A61" s="2" t="s">
        <v>833</v>
      </c>
      <c r="B61" s="2"/>
      <c r="C61" s="11"/>
      <c r="D61" s="11"/>
      <c r="E61" s="11"/>
      <c r="G61" s="166"/>
      <c r="H61" s="318">
        <f>18.3-H55</f>
        <v>3.1360065111231687</v>
      </c>
      <c r="I61" s="16"/>
      <c r="J61" s="175"/>
      <c r="K61" s="124">
        <f>H61/(MCFS!$P$17/1000000)</f>
        <v>0.19000980480840649</v>
      </c>
    </row>
    <row r="62" spans="1:11">
      <c r="A62" s="113" t="s">
        <v>835</v>
      </c>
      <c r="B62" s="113"/>
      <c r="C62" s="11"/>
      <c r="D62" s="11"/>
      <c r="E62" s="11"/>
      <c r="F62" s="124">
        <v>0.5</v>
      </c>
      <c r="G62" s="166"/>
      <c r="H62" s="148">
        <f>F62*H61</f>
        <v>1.5680032555615844</v>
      </c>
      <c r="I62" s="16"/>
      <c r="J62" s="175"/>
      <c r="K62" s="124">
        <f>H62/(MCFS!$P$17/1000000)</f>
        <v>9.5004902404203243E-2</v>
      </c>
    </row>
    <row r="63" spans="1:11">
      <c r="A63" s="113" t="s">
        <v>190</v>
      </c>
      <c r="B63" s="113"/>
      <c r="C63" s="11"/>
      <c r="D63" s="11"/>
      <c r="E63" s="11"/>
      <c r="F63" s="124">
        <v>0.5</v>
      </c>
      <c r="G63" s="166"/>
      <c r="H63" s="148">
        <f>F63*H61</f>
        <v>1.5680032555615844</v>
      </c>
      <c r="I63" s="16"/>
      <c r="J63" s="175"/>
      <c r="K63" s="124">
        <f>H63/(MCFS!$P$17/1000000)</f>
        <v>9.5004902404203243E-2</v>
      </c>
    </row>
    <row r="64" spans="1:11">
      <c r="A64" s="113"/>
      <c r="B64" s="113"/>
      <c r="C64" s="11"/>
      <c r="D64" s="11"/>
      <c r="E64" s="11"/>
      <c r="F64" s="124"/>
      <c r="G64" s="166"/>
      <c r="H64" s="148"/>
      <c r="I64" s="16"/>
      <c r="J64" s="175"/>
      <c r="K64" s="124"/>
    </row>
    <row r="65" spans="1:11">
      <c r="A65" s="2" t="s">
        <v>834</v>
      </c>
      <c r="B65" s="2"/>
      <c r="C65" s="11"/>
      <c r="D65" s="11"/>
      <c r="E65" s="11"/>
      <c r="G65" s="166"/>
      <c r="H65" s="318">
        <f>20.1-H55</f>
        <v>4.9360065111231695</v>
      </c>
      <c r="I65" s="16"/>
      <c r="J65" s="175"/>
      <c r="K65" s="124">
        <f>H65/(MCFS!$P$17/1000000)</f>
        <v>0.29907132857821439</v>
      </c>
    </row>
    <row r="66" spans="1:11">
      <c r="A66" s="113" t="s">
        <v>835</v>
      </c>
      <c r="B66" s="113"/>
      <c r="C66" s="11"/>
      <c r="D66" s="11"/>
      <c r="E66" s="11"/>
      <c r="F66" s="124">
        <v>0.5</v>
      </c>
      <c r="G66" s="166"/>
      <c r="H66" s="148">
        <f>F66*H65</f>
        <v>2.4680032555615847</v>
      </c>
      <c r="I66" s="16"/>
      <c r="J66" s="175"/>
      <c r="K66" s="124">
        <f>H66/(MCFS!$P$17/1000000)</f>
        <v>0.1495356642891072</v>
      </c>
    </row>
    <row r="67" spans="1:11">
      <c r="A67" s="113" t="s">
        <v>190</v>
      </c>
      <c r="B67" s="113"/>
      <c r="C67" s="11"/>
      <c r="D67" s="11"/>
      <c r="E67" s="11"/>
      <c r="F67" s="124">
        <v>0.5</v>
      </c>
      <c r="G67" s="166"/>
      <c r="H67" s="148">
        <f>F67*H65</f>
        <v>2.4680032555615847</v>
      </c>
      <c r="I67" s="16"/>
      <c r="J67" s="175"/>
      <c r="K67" s="124">
        <f>H67/(MCFS!$P$17/1000000)</f>
        <v>0.1495356642891072</v>
      </c>
    </row>
    <row r="68" spans="1:11">
      <c r="A68" s="113"/>
      <c r="B68" s="113"/>
      <c r="C68" s="11"/>
      <c r="D68" s="11"/>
      <c r="E68" s="11"/>
      <c r="F68" s="124"/>
      <c r="G68" s="166"/>
      <c r="H68" s="148"/>
      <c r="I68" s="16"/>
      <c r="J68" s="175"/>
      <c r="K68" s="124"/>
    </row>
    <row r="69" spans="1:11">
      <c r="A69" s="2"/>
      <c r="B69" s="2"/>
      <c r="C69" s="11"/>
      <c r="D69" s="11"/>
      <c r="E69" s="11"/>
      <c r="F69" s="124"/>
      <c r="G69" s="166"/>
      <c r="H69" s="148"/>
      <c r="I69" s="16"/>
      <c r="J69" s="175"/>
      <c r="K69" s="124"/>
    </row>
    <row r="70" spans="1:11">
      <c r="A70" s="2"/>
      <c r="B70" s="2"/>
      <c r="C70" s="11"/>
      <c r="D70" s="11"/>
      <c r="E70" s="11"/>
      <c r="F70" s="124"/>
      <c r="G70" s="166"/>
      <c r="H70" s="148"/>
      <c r="I70" s="16"/>
      <c r="J70" s="175"/>
      <c r="K70" s="124"/>
    </row>
    <row r="71" spans="1:11">
      <c r="A71" s="2"/>
      <c r="B71" s="2"/>
      <c r="C71" s="11"/>
      <c r="D71" s="11"/>
      <c r="E71" s="11"/>
      <c r="F71" s="124"/>
      <c r="G71" s="166"/>
      <c r="H71" s="148"/>
      <c r="I71" s="16"/>
      <c r="J71" s="175"/>
      <c r="K71" s="124"/>
    </row>
    <row r="72" spans="1:11">
      <c r="A72" s="2"/>
      <c r="B72" s="2"/>
      <c r="C72" s="11"/>
      <c r="D72" s="11"/>
      <c r="E72" s="11"/>
      <c r="F72" s="124"/>
      <c r="G72" s="166"/>
      <c r="H72" s="148"/>
      <c r="I72" s="16"/>
      <c r="J72" s="175"/>
      <c r="K72" s="124"/>
    </row>
    <row r="73" spans="1:11">
      <c r="A73" s="2"/>
      <c r="B73" s="2"/>
      <c r="C73" s="11"/>
      <c r="D73" s="11"/>
      <c r="E73" s="11"/>
      <c r="F73" s="124"/>
      <c r="G73" s="166"/>
      <c r="H73" s="148"/>
      <c r="I73" s="16"/>
      <c r="J73" s="175"/>
      <c r="K73" s="124"/>
    </row>
    <row r="74" spans="1:11">
      <c r="A74" s="113"/>
      <c r="B74" s="113"/>
      <c r="C74" s="11"/>
      <c r="D74" s="11"/>
      <c r="E74" s="11"/>
      <c r="F74" s="124"/>
      <c r="G74" s="166"/>
      <c r="H74" s="148"/>
      <c r="I74" s="16"/>
      <c r="J74" s="175"/>
      <c r="K74" s="124"/>
    </row>
    <row r="75" spans="1:11">
      <c r="A75" s="2"/>
      <c r="B75" s="2"/>
      <c r="C75" s="11"/>
      <c r="D75" s="11"/>
      <c r="E75" s="11"/>
      <c r="G75" s="166"/>
      <c r="H75" s="148"/>
      <c r="I75" s="16"/>
      <c r="J75" s="175"/>
      <c r="K75" s="124"/>
    </row>
    <row r="76" spans="1:11">
      <c r="A76" s="2"/>
      <c r="B76" s="2"/>
      <c r="C76" s="11"/>
      <c r="D76" s="11"/>
      <c r="E76" s="11"/>
      <c r="G76" s="166"/>
      <c r="H76" s="148"/>
      <c r="I76" s="16"/>
      <c r="J76" s="175"/>
      <c r="K76" s="124"/>
    </row>
    <row r="77" spans="1:11">
      <c r="A77" s="2"/>
      <c r="B77" s="2"/>
      <c r="C77" s="11"/>
      <c r="D77" s="11"/>
      <c r="E77" s="11"/>
      <c r="G77" s="166"/>
      <c r="H77" s="148"/>
      <c r="I77" s="16"/>
      <c r="J77" s="175"/>
      <c r="K77" s="124"/>
    </row>
    <row r="78" spans="1:11">
      <c r="A78" s="2"/>
      <c r="B78" s="2"/>
      <c r="C78" s="11"/>
      <c r="D78" s="11"/>
      <c r="E78" s="11"/>
      <c r="H78" s="148"/>
      <c r="K78" s="124"/>
    </row>
    <row r="79" spans="1:11">
      <c r="A79" s="2"/>
      <c r="B79" s="2"/>
      <c r="C79" s="11"/>
      <c r="D79" s="11"/>
      <c r="E79" s="11"/>
      <c r="G79" s="166"/>
      <c r="H79" s="148"/>
      <c r="J79" s="175"/>
      <c r="K79" s="124"/>
    </row>
    <row r="80" spans="1:11">
      <c r="G80" s="166"/>
      <c r="J80" s="175"/>
    </row>
    <row r="81" spans="1:11">
      <c r="A81" s="2"/>
      <c r="B81" s="2"/>
      <c r="C81" s="11"/>
      <c r="D81" s="11"/>
      <c r="E81" s="11"/>
      <c r="G81" s="166"/>
      <c r="H81" s="148"/>
      <c r="I81" s="16"/>
      <c r="J81" s="175"/>
      <c r="K81" s="124"/>
    </row>
    <row r="82" spans="1:11">
      <c r="A82" s="2"/>
      <c r="B82" s="2"/>
      <c r="C82" s="11"/>
      <c r="D82" s="11"/>
      <c r="E82" s="11"/>
      <c r="G82" s="166"/>
      <c r="H82" s="148"/>
      <c r="I82" s="16"/>
      <c r="J82" s="175"/>
      <c r="K82" s="124"/>
    </row>
    <row r="83" spans="1:11">
      <c r="A83" s="2"/>
      <c r="B83" s="2"/>
      <c r="C83" s="11"/>
      <c r="D83" s="11"/>
      <c r="E83" s="11"/>
      <c r="G83" s="166"/>
      <c r="H83" s="148"/>
      <c r="I83" s="16"/>
      <c r="J83" s="175"/>
      <c r="K83" s="124"/>
    </row>
    <row r="84" spans="1:11">
      <c r="A84" s="2"/>
      <c r="B84" s="2"/>
      <c r="C84" s="11"/>
      <c r="D84" s="11"/>
      <c r="E84" s="11"/>
      <c r="H84" s="148"/>
      <c r="K84" s="124"/>
    </row>
    <row r="85" spans="1:11">
      <c r="A85" s="2"/>
      <c r="B85" s="2"/>
      <c r="C85" s="11"/>
      <c r="D85" s="11"/>
      <c r="E85" s="11"/>
      <c r="G85" s="166"/>
      <c r="H85" s="148"/>
      <c r="J85" s="175"/>
      <c r="K85" s="124"/>
    </row>
  </sheetData>
  <phoneticPr fontId="0" type="noConversion"/>
  <printOptions horizontalCentered="1" verticalCentered="1"/>
  <pageMargins left="0.75" right="0.75" top="1" bottom="1" header="0.5" footer="0.5"/>
  <pageSetup scale="50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AX143"/>
  <sheetViews>
    <sheetView zoomScale="50" workbookViewId="0">
      <pane xSplit="3" ySplit="12" topLeftCell="L13" activePane="bottomRight" state="frozen"/>
      <selection activeCell="I74" sqref="I74"/>
      <selection pane="topRight" activeCell="I74" sqref="I74"/>
      <selection pane="bottomLeft" activeCell="I74" sqref="I74"/>
      <selection pane="bottomRight" activeCell="P18" sqref="P18"/>
    </sheetView>
  </sheetViews>
  <sheetFormatPr defaultRowHeight="20.25"/>
  <cols>
    <col min="1" max="1" width="20.109375" style="10" bestFit="1" customWidth="1"/>
    <col min="2" max="2" width="35" style="10" bestFit="1" customWidth="1"/>
    <col min="3" max="3" width="95.44140625" style="1" bestFit="1" customWidth="1"/>
    <col min="4" max="4" width="15.77734375" style="1" customWidth="1"/>
    <col min="5" max="7" width="15.44140625" style="1" bestFit="1" customWidth="1"/>
    <col min="8" max="10" width="15.77734375" style="1" customWidth="1"/>
    <col min="11" max="11" width="18.33203125" style="1" bestFit="1" customWidth="1"/>
    <col min="12" max="12" width="16.77734375" style="37" bestFit="1" customWidth="1"/>
    <col min="13" max="13" width="16.33203125" style="1" bestFit="1" customWidth="1"/>
    <col min="14" max="15" width="15.77734375" style="1" customWidth="1"/>
    <col min="16" max="16" width="17.44140625" style="33" bestFit="1" customWidth="1"/>
    <col min="17" max="17" width="22.5546875" style="10" bestFit="1" customWidth="1"/>
    <col min="18" max="18" width="7.6640625" style="10" bestFit="1" customWidth="1"/>
    <col min="19" max="19" width="19" style="10" bestFit="1" customWidth="1"/>
    <col min="20" max="20" width="93.21875" style="1" bestFit="1" customWidth="1"/>
    <col min="21" max="32" width="16.77734375" style="1" bestFit="1" customWidth="1"/>
    <col min="33" max="33" width="17.44140625" style="1" bestFit="1" customWidth="1"/>
    <col min="34" max="34" width="15.88671875" style="1" bestFit="1" customWidth="1"/>
    <col min="35" max="35" width="19" style="1" bestFit="1" customWidth="1"/>
    <col min="36" max="36" width="93.21875" style="1" bestFit="1" customWidth="1"/>
    <col min="37" max="37" width="16.77734375" style="1" bestFit="1" customWidth="1"/>
    <col min="38" max="48" width="18.109375" style="1" bestFit="1" customWidth="1"/>
    <col min="49" max="49" width="17.44140625" style="1" bestFit="1" customWidth="1"/>
    <col min="50" max="50" width="14.5546875" style="10" bestFit="1" customWidth="1"/>
    <col min="51" max="51" width="9" style="1" bestFit="1" customWidth="1"/>
    <col min="52" max="16384" width="8.88671875" style="1"/>
  </cols>
  <sheetData>
    <row r="1" spans="1:50">
      <c r="C1" s="33" t="str">
        <f ca="1">CELL("FILENAME",A1)</f>
        <v>H:\Gaspurch\GasCosts\Annual\FY1113\[1113pgc9Aug11.xlsx]YR REPORTS</v>
      </c>
      <c r="D1" s="32"/>
      <c r="E1" s="364"/>
      <c r="F1" s="16">
        <f>F20/F12</f>
        <v>2.9985824976372015</v>
      </c>
      <c r="G1" s="39"/>
      <c r="H1" s="39"/>
      <c r="I1" s="199"/>
      <c r="J1" s="199"/>
      <c r="K1" s="199"/>
      <c r="L1" s="199"/>
      <c r="M1" s="39"/>
      <c r="N1" s="39"/>
      <c r="O1" s="39"/>
      <c r="P1" s="43"/>
      <c r="T1" s="33" t="str">
        <f ca="1">CELL("FILENAME",O1)</f>
        <v>H:\Gaspurch\GasCosts\Annual\FY1113\[1113pgc9Aug11.xlsx]YR REPORTS</v>
      </c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J1" s="33" t="str">
        <f ca="1">CELL("FILENAME",AF1)</f>
        <v>H:\Gaspurch\GasCosts\Annual\FY1113\[1113pgc9Aug11.xlsx]YR REPORTS</v>
      </c>
      <c r="AO1" s="16"/>
      <c r="AP1" s="16"/>
      <c r="AQ1" s="16"/>
      <c r="AR1" s="16"/>
      <c r="AS1" s="17"/>
      <c r="AT1" s="16"/>
    </row>
    <row r="2" spans="1:50">
      <c r="C2" s="2" t="s">
        <v>115</v>
      </c>
      <c r="D2" s="10"/>
      <c r="L2" s="17"/>
      <c r="M2" s="32"/>
      <c r="T2" s="2" t="s">
        <v>115</v>
      </c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32"/>
      <c r="AJ2" s="2" t="s">
        <v>115</v>
      </c>
      <c r="AK2" s="10"/>
      <c r="AS2" s="37"/>
    </row>
    <row r="3" spans="1:50">
      <c r="C3" s="2" t="s">
        <v>116</v>
      </c>
      <c r="D3" s="10"/>
      <c r="L3" s="24"/>
      <c r="M3" s="32"/>
      <c r="T3" s="2" t="s">
        <v>116</v>
      </c>
      <c r="U3" s="10"/>
      <c r="AC3" s="37"/>
      <c r="AJ3" s="2" t="s">
        <v>116</v>
      </c>
      <c r="AK3" s="10"/>
      <c r="AS3" s="37"/>
    </row>
    <row r="4" spans="1:50">
      <c r="C4" s="2" t="s">
        <v>114</v>
      </c>
      <c r="D4" s="10"/>
      <c r="M4" s="32"/>
      <c r="T4" s="2" t="s">
        <v>114</v>
      </c>
      <c r="U4" s="10"/>
      <c r="AC4" s="37"/>
      <c r="AJ4" s="2" t="s">
        <v>114</v>
      </c>
      <c r="AK4" s="10"/>
      <c r="AS4" s="37"/>
    </row>
    <row r="5" spans="1:50">
      <c r="C5" s="167">
        <v>40765</v>
      </c>
      <c r="D5" s="11" t="s">
        <v>774</v>
      </c>
      <c r="E5" s="11" t="s">
        <v>774</v>
      </c>
      <c r="F5" s="11" t="s">
        <v>774</v>
      </c>
      <c r="G5" s="11" t="s">
        <v>774</v>
      </c>
      <c r="H5" s="11" t="s">
        <v>774</v>
      </c>
      <c r="I5" s="168"/>
      <c r="J5" s="124"/>
      <c r="K5" s="378"/>
      <c r="L5" s="124"/>
      <c r="M5" s="22"/>
      <c r="N5" s="22"/>
      <c r="O5" s="124"/>
      <c r="T5" s="167">
        <f ca="1">NOW()</f>
        <v>41059.682299652777</v>
      </c>
      <c r="U5" s="10"/>
      <c r="AC5" s="37"/>
      <c r="AJ5" s="167">
        <f ca="1">NOW()</f>
        <v>41059.682299652777</v>
      </c>
      <c r="AK5" s="10"/>
      <c r="AS5" s="37"/>
    </row>
    <row r="6" spans="1:50" s="33" customFormat="1">
      <c r="A6" s="11"/>
      <c r="B6" s="11"/>
      <c r="D6" s="11" t="s">
        <v>910</v>
      </c>
      <c r="E6" s="11" t="s">
        <v>910</v>
      </c>
      <c r="F6" s="11" t="s">
        <v>910</v>
      </c>
      <c r="G6" s="11" t="s">
        <v>910</v>
      </c>
      <c r="H6" s="11" t="s">
        <v>910</v>
      </c>
      <c r="I6" s="11" t="s">
        <v>910</v>
      </c>
      <c r="J6" s="11" t="s">
        <v>910</v>
      </c>
      <c r="K6" s="11" t="s">
        <v>910</v>
      </c>
      <c r="L6" s="11" t="s">
        <v>910</v>
      </c>
      <c r="M6" s="11" t="s">
        <v>910</v>
      </c>
      <c r="N6" s="11" t="s">
        <v>910</v>
      </c>
      <c r="O6" s="11" t="s">
        <v>910</v>
      </c>
      <c r="Q6" s="11"/>
      <c r="R6" s="11"/>
      <c r="S6" s="11"/>
      <c r="U6" s="11" t="s">
        <v>69</v>
      </c>
      <c r="V6" s="11" t="s">
        <v>69</v>
      </c>
      <c r="W6" s="11" t="s">
        <v>69</v>
      </c>
      <c r="X6" s="11" t="s">
        <v>69</v>
      </c>
      <c r="Y6" s="11" t="s">
        <v>69</v>
      </c>
      <c r="Z6" s="11" t="s">
        <v>69</v>
      </c>
      <c r="AA6" s="11" t="s">
        <v>69</v>
      </c>
      <c r="AB6" s="11" t="s">
        <v>69</v>
      </c>
      <c r="AC6" s="13" t="s">
        <v>69</v>
      </c>
      <c r="AD6" s="11" t="s">
        <v>69</v>
      </c>
      <c r="AE6" s="11" t="s">
        <v>69</v>
      </c>
      <c r="AF6" s="11" t="s">
        <v>69</v>
      </c>
      <c r="AK6" s="11" t="s">
        <v>69</v>
      </c>
      <c r="AL6" s="11" t="s">
        <v>69</v>
      </c>
      <c r="AM6" s="11" t="s">
        <v>69</v>
      </c>
      <c r="AN6" s="11" t="s">
        <v>69</v>
      </c>
      <c r="AO6" s="11" t="s">
        <v>69</v>
      </c>
      <c r="AP6" s="11" t="s">
        <v>69</v>
      </c>
      <c r="AQ6" s="11" t="s">
        <v>69</v>
      </c>
      <c r="AR6" s="11" t="s">
        <v>69</v>
      </c>
      <c r="AS6" s="13" t="s">
        <v>69</v>
      </c>
      <c r="AT6" s="11" t="s">
        <v>69</v>
      </c>
      <c r="AU6" s="11" t="s">
        <v>69</v>
      </c>
      <c r="AV6" s="11" t="s">
        <v>69</v>
      </c>
      <c r="AX6" s="11"/>
    </row>
    <row r="7" spans="1:50" s="11" customFormat="1">
      <c r="A7" s="142"/>
      <c r="B7" s="142"/>
      <c r="C7" s="2"/>
      <c r="D7" s="142">
        <v>40360</v>
      </c>
      <c r="E7" s="142">
        <v>40391</v>
      </c>
      <c r="F7" s="142">
        <v>40422</v>
      </c>
      <c r="G7" s="142">
        <v>40452</v>
      </c>
      <c r="H7" s="142">
        <v>40483</v>
      </c>
      <c r="I7" s="142">
        <v>40513</v>
      </c>
      <c r="J7" s="142">
        <v>40544</v>
      </c>
      <c r="K7" s="142">
        <v>40575</v>
      </c>
      <c r="L7" s="142">
        <v>40603</v>
      </c>
      <c r="M7" s="142">
        <v>40634</v>
      </c>
      <c r="N7" s="142">
        <v>40664</v>
      </c>
      <c r="O7" s="142">
        <v>40695</v>
      </c>
      <c r="P7" s="142" t="s">
        <v>758</v>
      </c>
      <c r="Q7" s="191"/>
      <c r="R7" s="191"/>
      <c r="S7" s="142"/>
      <c r="T7" s="2"/>
      <c r="U7" s="142">
        <v>40725</v>
      </c>
      <c r="V7" s="142">
        <v>40756</v>
      </c>
      <c r="W7" s="142">
        <v>40787</v>
      </c>
      <c r="X7" s="142">
        <v>40817</v>
      </c>
      <c r="Y7" s="142">
        <v>40848</v>
      </c>
      <c r="Z7" s="142">
        <v>40878</v>
      </c>
      <c r="AA7" s="142">
        <v>40909</v>
      </c>
      <c r="AB7" s="142">
        <v>40940</v>
      </c>
      <c r="AC7" s="142">
        <v>40969</v>
      </c>
      <c r="AD7" s="142">
        <v>41000</v>
      </c>
      <c r="AE7" s="142">
        <v>40664</v>
      </c>
      <c r="AF7" s="142">
        <v>41061</v>
      </c>
      <c r="AG7" s="142" t="s">
        <v>868</v>
      </c>
      <c r="AH7" s="142" t="s">
        <v>607</v>
      </c>
      <c r="AI7" s="142"/>
      <c r="AJ7" s="2"/>
      <c r="AK7" s="142">
        <v>41091</v>
      </c>
      <c r="AL7" s="142">
        <v>41122</v>
      </c>
      <c r="AM7" s="142">
        <v>41153</v>
      </c>
      <c r="AN7" s="142">
        <v>41183</v>
      </c>
      <c r="AO7" s="142">
        <v>41214</v>
      </c>
      <c r="AP7" s="142">
        <v>41244</v>
      </c>
      <c r="AQ7" s="142">
        <v>41275</v>
      </c>
      <c r="AR7" s="142">
        <v>41306</v>
      </c>
      <c r="AS7" s="142">
        <v>41334</v>
      </c>
      <c r="AT7" s="142">
        <v>41365</v>
      </c>
      <c r="AU7" s="142">
        <v>41395</v>
      </c>
      <c r="AV7" s="142">
        <v>41426</v>
      </c>
      <c r="AW7" s="142" t="s">
        <v>895</v>
      </c>
      <c r="AX7" s="142" t="s">
        <v>607</v>
      </c>
    </row>
    <row r="8" spans="1:50" s="11" customFormat="1">
      <c r="A8" s="59"/>
      <c r="B8" s="59"/>
      <c r="C8" s="2" t="s">
        <v>130</v>
      </c>
      <c r="D8" s="22">
        <f t="shared" ref="D8:O8" si="0">D10-D9</f>
        <v>181300.8</v>
      </c>
      <c r="E8" s="22">
        <f t="shared" si="0"/>
        <v>193938.7</v>
      </c>
      <c r="F8" s="22">
        <f t="shared" si="0"/>
        <v>214222</v>
      </c>
      <c r="G8" s="22">
        <f t="shared" si="0"/>
        <v>411591</v>
      </c>
      <c r="H8" s="22">
        <f t="shared" si="0"/>
        <v>1019821.9</v>
      </c>
      <c r="I8" s="22">
        <f t="shared" si="0"/>
        <v>2297085</v>
      </c>
      <c r="J8" s="22">
        <f t="shared" si="0"/>
        <v>2281561.4</v>
      </c>
      <c r="K8" s="22">
        <f t="shared" si="0"/>
        <v>1453437.1</v>
      </c>
      <c r="L8" s="28">
        <f t="shared" si="0"/>
        <v>1152952.0999999999</v>
      </c>
      <c r="M8" s="22">
        <f t="shared" si="0"/>
        <v>528496.4</v>
      </c>
      <c r="N8" s="22">
        <f t="shared" si="0"/>
        <v>274238.90000000002</v>
      </c>
      <c r="O8" s="22">
        <f t="shared" si="0"/>
        <v>215254.80000000002</v>
      </c>
      <c r="P8" s="59">
        <f>SUM(D8:O8)</f>
        <v>10223900.100000001</v>
      </c>
      <c r="Q8" s="59"/>
      <c r="R8" s="168"/>
      <c r="S8" s="59"/>
      <c r="T8" s="2" t="s">
        <v>130</v>
      </c>
      <c r="U8" s="22">
        <f>U10-U9</f>
        <v>195316.00775686617</v>
      </c>
      <c r="V8" s="22">
        <f t="shared" ref="V8:AF8" si="1">V10-V9</f>
        <v>195316.00775686617</v>
      </c>
      <c r="W8" s="22">
        <f t="shared" si="1"/>
        <v>238932.18880093502</v>
      </c>
      <c r="X8" s="22">
        <f t="shared" si="1"/>
        <v>611288.48628455435</v>
      </c>
      <c r="Y8" s="22">
        <f t="shared" si="1"/>
        <v>1057935.7798576721</v>
      </c>
      <c r="Z8" s="22">
        <f t="shared" si="1"/>
        <v>1578193.4030400247</v>
      </c>
      <c r="AA8" s="22">
        <f t="shared" si="1"/>
        <v>1809289.224444296</v>
      </c>
      <c r="AB8" s="22">
        <f t="shared" si="1"/>
        <v>1479794.8913391943</v>
      </c>
      <c r="AC8" s="22">
        <f t="shared" si="1"/>
        <v>1171464.7573685076</v>
      </c>
      <c r="AD8" s="22">
        <f t="shared" si="1"/>
        <v>658602.20047109132</v>
      </c>
      <c r="AE8" s="22">
        <f t="shared" si="1"/>
        <v>343217.33345559973</v>
      </c>
      <c r="AF8" s="22">
        <f t="shared" si="1"/>
        <v>189015.49137761246</v>
      </c>
      <c r="AG8" s="59">
        <f>AG10-AG9</f>
        <v>9528365.7719532214</v>
      </c>
      <c r="AH8" s="59">
        <f>AG8-P8</f>
        <v>-695534.32804678008</v>
      </c>
      <c r="AI8" s="59"/>
      <c r="AJ8" s="2" t="s">
        <v>130</v>
      </c>
      <c r="AK8" s="22">
        <f>AK10-AK9</f>
        <v>196989.36878471193</v>
      </c>
      <c r="AL8" s="22">
        <f t="shared" ref="AL8:AV8" si="2">AL10-AL9</f>
        <v>196989.36878471193</v>
      </c>
      <c r="AM8" s="22">
        <f t="shared" si="2"/>
        <v>240976.34439716567</v>
      </c>
      <c r="AN8" s="22">
        <f t="shared" si="2"/>
        <v>616501.630282233</v>
      </c>
      <c r="AO8" s="22">
        <f t="shared" si="2"/>
        <v>1066949.3748122847</v>
      </c>
      <c r="AP8" s="22">
        <f t="shared" si="2"/>
        <v>1591634.5758964708</v>
      </c>
      <c r="AQ8" s="22">
        <f t="shared" si="2"/>
        <v>1824696.9433950938</v>
      </c>
      <c r="AR8" s="22">
        <f t="shared" si="2"/>
        <v>1492397.6341751984</v>
      </c>
      <c r="AS8" s="22">
        <f t="shared" si="2"/>
        <v>1181444.8090988947</v>
      </c>
      <c r="AT8" s="22">
        <f t="shared" si="2"/>
        <v>664217.60377466469</v>
      </c>
      <c r="AU8" s="22">
        <f t="shared" si="2"/>
        <v>346149.28398383048</v>
      </c>
      <c r="AV8" s="22">
        <f t="shared" si="2"/>
        <v>190634.87301746316</v>
      </c>
      <c r="AW8" s="59">
        <f>AW10-AW9</f>
        <v>9609581.8104027249</v>
      </c>
      <c r="AX8" s="59">
        <f>AW8-AG8</f>
        <v>81216.038449503481</v>
      </c>
    </row>
    <row r="9" spans="1:50" s="13" customFormat="1">
      <c r="A9" s="131"/>
      <c r="B9" s="131"/>
      <c r="C9" s="389" t="s">
        <v>143</v>
      </c>
      <c r="D9" s="132">
        <f>+MCFS!D79</f>
        <v>57280</v>
      </c>
      <c r="E9" s="132">
        <f>+MCFS!E79</f>
        <v>60834.8</v>
      </c>
      <c r="F9" s="132">
        <f>+MCFS!F79</f>
        <v>65658</v>
      </c>
      <c r="G9" s="132">
        <f>+MCFS!G79</f>
        <v>93332</v>
      </c>
      <c r="H9" s="132">
        <f>+MCFS!H79</f>
        <v>162707.4</v>
      </c>
      <c r="I9" s="132">
        <f>+MCFS!I79</f>
        <v>274133.2</v>
      </c>
      <c r="J9" s="132">
        <f>+MCFS!J79</f>
        <v>274682.59999999998</v>
      </c>
      <c r="K9" s="132">
        <f>+MCFS!K79</f>
        <v>191027.3</v>
      </c>
      <c r="L9" s="132">
        <f>+MCFS!L79</f>
        <v>185781.7</v>
      </c>
      <c r="M9" s="132">
        <f>+MCFS!M79</f>
        <v>106651.8</v>
      </c>
      <c r="N9" s="132">
        <f>+MCFS!N79</f>
        <v>85960.9</v>
      </c>
      <c r="O9" s="132">
        <f>+MCFS!O79</f>
        <v>62806.1</v>
      </c>
      <c r="P9" s="131">
        <f>SUM(D9:O9)</f>
        <v>1620855.7999999998</v>
      </c>
      <c r="Q9" s="131"/>
      <c r="R9" s="131"/>
      <c r="S9" s="131"/>
      <c r="T9" s="170" t="s">
        <v>143</v>
      </c>
      <c r="U9" s="28">
        <f>+MCFS!T46</f>
        <v>71625.5</v>
      </c>
      <c r="V9" s="28">
        <f>+MCFS!U46</f>
        <v>71625.5</v>
      </c>
      <c r="W9" s="28">
        <f>+MCFS!V46</f>
        <v>74540.714999999997</v>
      </c>
      <c r="X9" s="28">
        <f>+MCFS!W46</f>
        <v>115173.125</v>
      </c>
      <c r="Y9" s="28">
        <f>+MCFS!X46</f>
        <v>160281.15</v>
      </c>
      <c r="Z9" s="28">
        <f>+MCFS!Y46</f>
        <v>216397.15999999997</v>
      </c>
      <c r="AA9" s="28">
        <f>+MCFS!Z46</f>
        <v>240590.28499999997</v>
      </c>
      <c r="AB9" s="28">
        <f>+MCFS!AA46</f>
        <v>201143.22500000001</v>
      </c>
      <c r="AC9" s="28">
        <f>+MCFS!AB46</f>
        <v>173817.26</v>
      </c>
      <c r="AD9" s="28">
        <f>+MCFS!AC46</f>
        <v>118475.43</v>
      </c>
      <c r="AE9" s="28">
        <f>+MCFS!AD46</f>
        <v>87109.1</v>
      </c>
      <c r="AF9" s="28">
        <f>+MCFS!AE46</f>
        <v>69315</v>
      </c>
      <c r="AG9" s="131">
        <f t="shared" ref="AG9:AG21" si="3">SUM(U9:AF9)</f>
        <v>1600093.45</v>
      </c>
      <c r="AH9" s="131">
        <f>AG9-P9</f>
        <v>-20762.34999999986</v>
      </c>
      <c r="AI9" s="131"/>
      <c r="AJ9" s="170" t="s">
        <v>143</v>
      </c>
      <c r="AK9" s="28">
        <f>+MCFS!AJ46</f>
        <v>71625.5</v>
      </c>
      <c r="AL9" s="28">
        <f>+MCFS!AK46</f>
        <v>71625.5</v>
      </c>
      <c r="AM9" s="28">
        <f>+MCFS!AL46</f>
        <v>74540.714999999997</v>
      </c>
      <c r="AN9" s="28">
        <f>+MCFS!AM46</f>
        <v>115173.125</v>
      </c>
      <c r="AO9" s="28">
        <f>+MCFS!AN46</f>
        <v>160281.15</v>
      </c>
      <c r="AP9" s="28">
        <f>+MCFS!AO46</f>
        <v>216397.15999999997</v>
      </c>
      <c r="AQ9" s="28">
        <f>+MCFS!AP46</f>
        <v>240590.28499999997</v>
      </c>
      <c r="AR9" s="28">
        <f>+MCFS!AQ46</f>
        <v>201143.22500000001</v>
      </c>
      <c r="AS9" s="28">
        <f>+MCFS!AR46</f>
        <v>173817.26</v>
      </c>
      <c r="AT9" s="28">
        <f>+MCFS!AS46</f>
        <v>118475.43</v>
      </c>
      <c r="AU9" s="28">
        <f>+MCFS!AT46</f>
        <v>87109.1</v>
      </c>
      <c r="AV9" s="28">
        <f>+MCFS!AU46</f>
        <v>69315</v>
      </c>
      <c r="AW9" s="131">
        <f>SUM(AK9:AV9)</f>
        <v>1600093.45</v>
      </c>
      <c r="AX9" s="214">
        <f>AW9-AG9</f>
        <v>0</v>
      </c>
    </row>
    <row r="10" spans="1:50" s="28" customFormat="1">
      <c r="A10" s="131"/>
      <c r="B10" s="131"/>
      <c r="C10" s="390" t="s">
        <v>118</v>
      </c>
      <c r="D10" s="132">
        <f>+MCFS!D87</f>
        <v>238580.8</v>
      </c>
      <c r="E10" s="132">
        <f>+MCFS!E87</f>
        <v>254773.5</v>
      </c>
      <c r="F10" s="132">
        <f>+MCFS!F87</f>
        <v>279880</v>
      </c>
      <c r="G10" s="132">
        <f>+MCFS!G87</f>
        <v>504923</v>
      </c>
      <c r="H10" s="132">
        <f>+MCFS!H87</f>
        <v>1182529.3</v>
      </c>
      <c r="I10" s="132">
        <f>+MCFS!I87</f>
        <v>2571218.2000000002</v>
      </c>
      <c r="J10" s="132">
        <f>+MCFS!J87</f>
        <v>2556244</v>
      </c>
      <c r="K10" s="132">
        <f>+MCFS!K87</f>
        <v>1644464.4000000001</v>
      </c>
      <c r="L10" s="132">
        <f>+MCFS!L87</f>
        <v>1338733.7999999998</v>
      </c>
      <c r="M10" s="132">
        <f>+MCFS!M87</f>
        <v>635148.20000000007</v>
      </c>
      <c r="N10" s="132">
        <f>+MCFS!N87</f>
        <v>360199.8</v>
      </c>
      <c r="O10" s="132">
        <f>+MCFS!O87</f>
        <v>278060.90000000002</v>
      </c>
      <c r="P10" s="131">
        <f>SUM(D10:O10)</f>
        <v>11844755.9</v>
      </c>
      <c r="Q10" s="131"/>
      <c r="R10" s="131"/>
      <c r="S10" s="131"/>
      <c r="T10" s="210" t="s">
        <v>118</v>
      </c>
      <c r="U10" s="28">
        <f>+MCFS!T52</f>
        <v>266941.50775686617</v>
      </c>
      <c r="V10" s="28">
        <f>+MCFS!U52</f>
        <v>266941.50775686617</v>
      </c>
      <c r="W10" s="28">
        <f>+MCFS!V52</f>
        <v>313472.90380093502</v>
      </c>
      <c r="X10" s="28">
        <f>+MCFS!W52</f>
        <v>726461.61128455435</v>
      </c>
      <c r="Y10" s="28">
        <f>+MCFS!X52</f>
        <v>1218216.929857672</v>
      </c>
      <c r="Z10" s="28">
        <f>+MCFS!Y52</f>
        <v>1794590.5630400246</v>
      </c>
      <c r="AA10" s="28">
        <f>+MCFS!Z52</f>
        <v>2049879.5094442959</v>
      </c>
      <c r="AB10" s="28">
        <f>+MCFS!AA52</f>
        <v>1680938.1163391944</v>
      </c>
      <c r="AC10" s="28">
        <f>+MCFS!AB52</f>
        <v>1345282.0173685076</v>
      </c>
      <c r="AD10" s="28">
        <f>+MCFS!AC52</f>
        <v>777077.63047109125</v>
      </c>
      <c r="AE10" s="28">
        <f>+MCFS!AD52</f>
        <v>430326.4334555997</v>
      </c>
      <c r="AF10" s="28">
        <f>+MCFS!AE52</f>
        <v>258330.49137761246</v>
      </c>
      <c r="AG10" s="131">
        <f t="shared" si="3"/>
        <v>11128459.221953221</v>
      </c>
      <c r="AH10" s="131">
        <f>AG10-P10</f>
        <v>-716296.67804677971</v>
      </c>
      <c r="AI10" s="131"/>
      <c r="AJ10" s="210" t="s">
        <v>118</v>
      </c>
      <c r="AK10" s="28">
        <f>+MCFS!AJ52</f>
        <v>268614.86878471193</v>
      </c>
      <c r="AL10" s="28">
        <f>+MCFS!AK52</f>
        <v>268614.86878471193</v>
      </c>
      <c r="AM10" s="28">
        <f>+MCFS!AL52</f>
        <v>315517.05939716566</v>
      </c>
      <c r="AN10" s="28">
        <f>+MCFS!AM52</f>
        <v>731674.755282233</v>
      </c>
      <c r="AO10" s="28">
        <f>+MCFS!AN52</f>
        <v>1227230.5248122846</v>
      </c>
      <c r="AP10" s="28">
        <f>+MCFS!AO52</f>
        <v>1808031.7358964707</v>
      </c>
      <c r="AQ10" s="28">
        <f>+MCFS!AP52</f>
        <v>2065287.2283950937</v>
      </c>
      <c r="AR10" s="28">
        <f>+MCFS!AQ52</f>
        <v>1693540.8591751985</v>
      </c>
      <c r="AS10" s="28">
        <f>+MCFS!AR52</f>
        <v>1355262.0690988947</v>
      </c>
      <c r="AT10" s="28">
        <f>+MCFS!AS52</f>
        <v>782693.03377466474</v>
      </c>
      <c r="AU10" s="28">
        <f>+MCFS!AT52</f>
        <v>433258.38398383051</v>
      </c>
      <c r="AV10" s="28">
        <f>+MCFS!AU52</f>
        <v>259949.87301746316</v>
      </c>
      <c r="AW10" s="131">
        <f>SUM(AK10:AV10)</f>
        <v>11209675.260402724</v>
      </c>
      <c r="AX10" s="131">
        <f>AW10-AG10</f>
        <v>81216.038449503481</v>
      </c>
    </row>
    <row r="11" spans="1:50" s="28" customFormat="1">
      <c r="A11" s="131"/>
      <c r="B11" s="131"/>
      <c r="C11" s="390" t="s">
        <v>119</v>
      </c>
      <c r="D11" s="132">
        <f>+MCFS!D99</f>
        <v>221336</v>
      </c>
      <c r="E11" s="132">
        <f>+MCFS!E99</f>
        <v>228946.3</v>
      </c>
      <c r="F11" s="132">
        <f>+MCFS!F99</f>
        <v>247884</v>
      </c>
      <c r="G11" s="132">
        <f>+MCFS!G99</f>
        <v>272765</v>
      </c>
      <c r="H11" s="132">
        <f>+MCFS!H99</f>
        <v>329173.8</v>
      </c>
      <c r="I11" s="132">
        <f>+MCFS!I99</f>
        <v>419536.6</v>
      </c>
      <c r="J11" s="132">
        <f>+MCFS!J99</f>
        <v>444747</v>
      </c>
      <c r="K11" s="132">
        <f>+MCFS!K99</f>
        <v>352434.3</v>
      </c>
      <c r="L11" s="132">
        <f>+MCFS!L99</f>
        <v>319091.19999999995</v>
      </c>
      <c r="M11" s="132">
        <f>+MCFS!M99</f>
        <v>329104</v>
      </c>
      <c r="N11" s="132">
        <f>+MCFS!N99</f>
        <v>241060.59999999998</v>
      </c>
      <c r="O11" s="132">
        <f>+MCFS!O99</f>
        <v>221191</v>
      </c>
      <c r="P11" s="131">
        <f>SUM(D11:O11)</f>
        <v>3627269.8000000003</v>
      </c>
      <c r="Q11" s="131"/>
      <c r="R11" s="131"/>
      <c r="S11" s="131"/>
      <c r="T11" s="210" t="s">
        <v>119</v>
      </c>
      <c r="U11" s="28">
        <f>+MCFS!T62</f>
        <v>222200</v>
      </c>
      <c r="V11" s="28">
        <f>+MCFS!U62</f>
        <v>212000</v>
      </c>
      <c r="W11" s="28">
        <f>+MCFS!V62</f>
        <v>192400</v>
      </c>
      <c r="X11" s="28">
        <f>+MCFS!W62</f>
        <v>308200</v>
      </c>
      <c r="Y11" s="28">
        <f>+MCFS!X62</f>
        <v>314600</v>
      </c>
      <c r="Z11" s="28">
        <f>+MCFS!Y62</f>
        <v>381100</v>
      </c>
      <c r="AA11" s="28">
        <f>+MCFS!Z62</f>
        <v>393500</v>
      </c>
      <c r="AB11" s="28">
        <f>+MCFS!AA62</f>
        <v>348800</v>
      </c>
      <c r="AC11" s="28">
        <f>+MCFS!AB62</f>
        <v>315800</v>
      </c>
      <c r="AD11" s="28">
        <f>+MCFS!AC62</f>
        <v>299000</v>
      </c>
      <c r="AE11" s="28">
        <f>+MCFS!AD62</f>
        <v>244700</v>
      </c>
      <c r="AF11" s="28">
        <f>+MCFS!AE62</f>
        <v>212800</v>
      </c>
      <c r="AG11" s="131">
        <f t="shared" si="3"/>
        <v>3445100</v>
      </c>
      <c r="AH11" s="131">
        <f>AG11-P11</f>
        <v>-182169.80000000028</v>
      </c>
      <c r="AI11" s="131"/>
      <c r="AJ11" s="210" t="s">
        <v>119</v>
      </c>
      <c r="AK11" s="28">
        <f>+MCFS!AJ62</f>
        <v>227250</v>
      </c>
      <c r="AL11" s="28">
        <f>+MCFS!AK62</f>
        <v>217050</v>
      </c>
      <c r="AM11" s="28">
        <f>+MCFS!AL62</f>
        <v>197500</v>
      </c>
      <c r="AN11" s="28">
        <f>+MCFS!AM62</f>
        <v>314400</v>
      </c>
      <c r="AO11" s="28">
        <f>+MCFS!AN62</f>
        <v>325000</v>
      </c>
      <c r="AP11" s="28">
        <f>+MCFS!AO62</f>
        <v>390700</v>
      </c>
      <c r="AQ11" s="28">
        <f>+MCFS!AP62</f>
        <v>403200</v>
      </c>
      <c r="AR11" s="28">
        <f>+MCFS!AQ62</f>
        <v>354300</v>
      </c>
      <c r="AS11" s="28">
        <f>+MCFS!AR62</f>
        <v>323300</v>
      </c>
      <c r="AT11" s="28">
        <f>+MCFS!AS62</f>
        <v>306300</v>
      </c>
      <c r="AU11" s="28">
        <f>+MCFS!AT62</f>
        <v>249800</v>
      </c>
      <c r="AV11" s="28">
        <f>+MCFS!AU62</f>
        <v>217900</v>
      </c>
      <c r="AW11" s="131">
        <f>SUM(AK11:AV11)</f>
        <v>3526700</v>
      </c>
      <c r="AX11" s="131">
        <f>AW11-AG11</f>
        <v>81600</v>
      </c>
    </row>
    <row r="12" spans="1:50">
      <c r="A12" s="59"/>
      <c r="B12" s="59"/>
      <c r="C12" s="2" t="s">
        <v>70</v>
      </c>
      <c r="D12" s="22">
        <f t="shared" ref="D12:O12" si="4">SUM(D10:D11)</f>
        <v>459916.79999999999</v>
      </c>
      <c r="E12" s="22">
        <f t="shared" si="4"/>
        <v>483719.8</v>
      </c>
      <c r="F12" s="22">
        <f t="shared" si="4"/>
        <v>527764</v>
      </c>
      <c r="G12" s="22">
        <f t="shared" si="4"/>
        <v>777688</v>
      </c>
      <c r="H12" s="22">
        <f t="shared" si="4"/>
        <v>1511703.1</v>
      </c>
      <c r="I12" s="22">
        <f t="shared" si="4"/>
        <v>2990754.8000000003</v>
      </c>
      <c r="J12" s="22">
        <f t="shared" si="4"/>
        <v>3000991</v>
      </c>
      <c r="K12" s="22">
        <f t="shared" si="4"/>
        <v>1996898.7000000002</v>
      </c>
      <c r="L12" s="22">
        <f t="shared" si="4"/>
        <v>1657824.9999999998</v>
      </c>
      <c r="M12" s="22">
        <f>SUM(M10:M11)</f>
        <v>964252.20000000007</v>
      </c>
      <c r="N12" s="22">
        <f t="shared" si="4"/>
        <v>601260.39999999991</v>
      </c>
      <c r="O12" s="22">
        <f t="shared" si="4"/>
        <v>499251.9</v>
      </c>
      <c r="P12" s="59">
        <f>SUM(D12:O12)</f>
        <v>15472025.699999999</v>
      </c>
      <c r="Q12" s="59"/>
      <c r="R12" s="59"/>
      <c r="S12" s="59"/>
      <c r="T12" s="2" t="s">
        <v>70</v>
      </c>
      <c r="U12" s="22">
        <f t="shared" ref="U12:AF12" si="5">SUM(U10:U11)</f>
        <v>489141.50775686617</v>
      </c>
      <c r="V12" s="22">
        <f t="shared" si="5"/>
        <v>478941.50775686617</v>
      </c>
      <c r="W12" s="22">
        <f t="shared" si="5"/>
        <v>505872.90380093502</v>
      </c>
      <c r="X12" s="22">
        <f t="shared" si="5"/>
        <v>1034661.6112845544</v>
      </c>
      <c r="Y12" s="22">
        <f t="shared" si="5"/>
        <v>1532816.929857672</v>
      </c>
      <c r="Z12" s="22">
        <f t="shared" si="5"/>
        <v>2175690.5630400246</v>
      </c>
      <c r="AA12" s="22">
        <f t="shared" si="5"/>
        <v>2443379.5094442959</v>
      </c>
      <c r="AB12" s="22">
        <f t="shared" si="5"/>
        <v>2029738.1163391944</v>
      </c>
      <c r="AC12" s="22">
        <f t="shared" si="5"/>
        <v>1661082.0173685076</v>
      </c>
      <c r="AD12" s="22">
        <f t="shared" si="5"/>
        <v>1076077.6304710913</v>
      </c>
      <c r="AE12" s="22">
        <f t="shared" si="5"/>
        <v>675026.4334555997</v>
      </c>
      <c r="AF12" s="22">
        <f t="shared" si="5"/>
        <v>471130.49137761246</v>
      </c>
      <c r="AG12" s="59">
        <f t="shared" si="3"/>
        <v>14573559.221953221</v>
      </c>
      <c r="AH12" s="59">
        <f>AG12-P12</f>
        <v>-898466.47804677859</v>
      </c>
      <c r="AI12" s="59"/>
      <c r="AJ12" s="2" t="s">
        <v>70</v>
      </c>
      <c r="AK12" s="22">
        <f t="shared" ref="AK12:AV12" si="6">SUM(AK10:AK11)</f>
        <v>495864.86878471193</v>
      </c>
      <c r="AL12" s="22">
        <f t="shared" si="6"/>
        <v>485664.86878471193</v>
      </c>
      <c r="AM12" s="22">
        <f t="shared" si="6"/>
        <v>513017.05939716566</v>
      </c>
      <c r="AN12" s="22">
        <f t="shared" si="6"/>
        <v>1046074.755282233</v>
      </c>
      <c r="AO12" s="22">
        <f t="shared" si="6"/>
        <v>1552230.5248122846</v>
      </c>
      <c r="AP12" s="22">
        <f t="shared" si="6"/>
        <v>2198731.735896471</v>
      </c>
      <c r="AQ12" s="22">
        <f t="shared" si="6"/>
        <v>2468487.2283950937</v>
      </c>
      <c r="AR12" s="22">
        <f t="shared" si="6"/>
        <v>2047840.8591751985</v>
      </c>
      <c r="AS12" s="28">
        <f t="shared" si="6"/>
        <v>1678562.0690988947</v>
      </c>
      <c r="AT12" s="22">
        <f t="shared" si="6"/>
        <v>1088993.0337746646</v>
      </c>
      <c r="AU12" s="22">
        <f t="shared" si="6"/>
        <v>683058.38398383046</v>
      </c>
      <c r="AV12" s="22">
        <f t="shared" si="6"/>
        <v>477849.87301746313</v>
      </c>
      <c r="AW12" s="59">
        <f>SUM(AK12:AV12)</f>
        <v>14736375.260402724</v>
      </c>
      <c r="AX12" s="59">
        <f>AW12-AG12</f>
        <v>162816.03844950348</v>
      </c>
    </row>
    <row r="13" spans="1:50">
      <c r="A13" s="59"/>
      <c r="B13" s="59"/>
      <c r="C13" s="2" t="s">
        <v>886</v>
      </c>
      <c r="D13" s="22">
        <f>D12*1.04/0.95</f>
        <v>503487.86526315793</v>
      </c>
      <c r="E13" s="22">
        <f t="shared" ref="E13:O13" si="7">E12*1.04/0.95</f>
        <v>529545.88631578954</v>
      </c>
      <c r="F13" s="22">
        <f t="shared" si="7"/>
        <v>577762.69473684218</v>
      </c>
      <c r="G13" s="22">
        <f t="shared" si="7"/>
        <v>851363.70526315796</v>
      </c>
      <c r="H13" s="22">
        <f t="shared" si="7"/>
        <v>1654917.077894737</v>
      </c>
      <c r="I13" s="22">
        <f t="shared" si="7"/>
        <v>3274089.4652631585</v>
      </c>
      <c r="J13" s="22">
        <f t="shared" si="7"/>
        <v>3285295.4105263161</v>
      </c>
      <c r="K13" s="22">
        <f t="shared" si="7"/>
        <v>2186078.5768421055</v>
      </c>
      <c r="L13" s="22">
        <f t="shared" si="7"/>
        <v>1814882.1052631577</v>
      </c>
      <c r="M13" s="22">
        <f t="shared" si="7"/>
        <v>1055602.4084210529</v>
      </c>
      <c r="N13" s="22">
        <f t="shared" si="7"/>
        <v>658221.91157894721</v>
      </c>
      <c r="O13" s="22">
        <f t="shared" si="7"/>
        <v>546549.44842105266</v>
      </c>
      <c r="P13" s="43"/>
      <c r="Q13" s="59"/>
      <c r="R13" s="59"/>
      <c r="S13" s="59"/>
      <c r="T13" s="2"/>
      <c r="U13" s="22">
        <f>U18-'[3]YR REPORTS'!AK14</f>
        <v>-2764488.2073720125</v>
      </c>
      <c r="V13" s="22">
        <f>V18-'[3]YR REPORTS'!AL14</f>
        <v>-3029456.0391687239</v>
      </c>
      <c r="W13" s="22">
        <f>W18-'[3]YR REPORTS'!AM14</f>
        <v>-3299529.6174618835</v>
      </c>
      <c r="X13" s="22">
        <f>X18-'[3]YR REPORTS'!AN14</f>
        <v>-4006843.7842737976</v>
      </c>
      <c r="Y13" s="22">
        <f>Y18-'[3]YR REPORTS'!AO14</f>
        <v>-6070340.233707713</v>
      </c>
      <c r="Z13" s="22">
        <f>Z18-'[3]YR REPORTS'!AP14</f>
        <v>-5776303.7266006535</v>
      </c>
      <c r="AA13" s="22">
        <f>AA18-'[3]YR REPORTS'!AQ14</f>
        <v>-6880485.9221256142</v>
      </c>
      <c r="AB13" s="22">
        <f>AB18-'[3]YR REPORTS'!AR14</f>
        <v>-6520827.8320882088</v>
      </c>
      <c r="AC13" s="22">
        <f>AC18-'[3]YR REPORTS'!AS14</f>
        <v>-6157795.5653156396</v>
      </c>
      <c r="AD13" s="22">
        <f>AD18-'[3]YR REPORTS'!AT14</f>
        <v>-5086954.9117883742</v>
      </c>
      <c r="AE13" s="22">
        <f>AE18-'[3]YR REPORTS'!AU14</f>
        <v>-3983700.2848020643</v>
      </c>
      <c r="AF13" s="22">
        <f>AF18-'[3]YR REPORTS'!AV14</f>
        <v>-3537805.8430621717</v>
      </c>
      <c r="AG13" s="59">
        <f t="shared" si="3"/>
        <v>-57114531.967766859</v>
      </c>
      <c r="AH13" s="59"/>
      <c r="AI13" s="59"/>
      <c r="AJ13" s="2"/>
      <c r="AK13" s="22"/>
      <c r="AL13" s="22"/>
      <c r="AM13" s="22"/>
      <c r="AN13" s="22"/>
      <c r="AO13" s="22"/>
      <c r="AP13" s="22"/>
      <c r="AQ13" s="22"/>
      <c r="AR13" s="22"/>
      <c r="AS13" s="28"/>
      <c r="AT13" s="22"/>
      <c r="AU13" s="22"/>
      <c r="AV13" s="22"/>
      <c r="AW13" s="59"/>
    </row>
    <row r="14" spans="1:50">
      <c r="A14" s="59"/>
      <c r="B14" s="59"/>
      <c r="C14" s="2" t="s">
        <v>883</v>
      </c>
      <c r="D14" s="22">
        <v>489092</v>
      </c>
      <c r="E14" s="22">
        <v>523045.3</v>
      </c>
      <c r="F14" s="22">
        <v>522239</v>
      </c>
      <c r="G14" s="22">
        <v>837221.1</v>
      </c>
      <c r="H14" s="22">
        <v>1566775</v>
      </c>
      <c r="I14" s="22">
        <v>3338002.9</v>
      </c>
      <c r="J14" s="22">
        <v>3245498</v>
      </c>
      <c r="K14" s="22">
        <v>2043492</v>
      </c>
      <c r="L14" s="22">
        <v>1794438.6</v>
      </c>
      <c r="M14" s="22">
        <v>956395</v>
      </c>
      <c r="N14" s="22">
        <v>643660.9</v>
      </c>
      <c r="O14" s="32">
        <v>512361.4</v>
      </c>
      <c r="P14" s="43"/>
      <c r="Q14" s="59"/>
      <c r="R14" s="59"/>
      <c r="S14" s="59"/>
      <c r="T14" s="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59"/>
      <c r="AH14" s="59"/>
      <c r="AI14" s="59"/>
      <c r="AJ14" s="2"/>
      <c r="AK14" s="22"/>
      <c r="AL14" s="22"/>
      <c r="AM14" s="22"/>
      <c r="AN14" s="22"/>
      <c r="AO14" s="22"/>
      <c r="AP14" s="22"/>
      <c r="AQ14" s="22"/>
      <c r="AR14" s="22"/>
      <c r="AS14" s="28"/>
      <c r="AT14" s="22"/>
      <c r="AU14" s="22"/>
      <c r="AV14" s="22"/>
      <c r="AW14" s="59"/>
    </row>
    <row r="15" spans="1:50" s="105" customFormat="1">
      <c r="A15" s="212"/>
      <c r="B15" s="212"/>
      <c r="C15" s="379" t="s">
        <v>884</v>
      </c>
      <c r="D15" s="108">
        <f>D13-D14</f>
        <v>14395.865263157932</v>
      </c>
      <c r="E15" s="108">
        <f t="shared" ref="E15:N15" si="8">E13-E14</f>
        <v>6500.586315789551</v>
      </c>
      <c r="F15" s="108">
        <f t="shared" si="8"/>
        <v>55523.694736842182</v>
      </c>
      <c r="G15" s="108">
        <f t="shared" si="8"/>
        <v>14142.605263157981</v>
      </c>
      <c r="H15" s="108">
        <f t="shared" si="8"/>
        <v>88142.077894737013</v>
      </c>
      <c r="I15" s="108">
        <f t="shared" si="8"/>
        <v>-63913.434736841358</v>
      </c>
      <c r="J15" s="108">
        <f t="shared" si="8"/>
        <v>39797.410526316147</v>
      </c>
      <c r="K15" s="108">
        <f t="shared" si="8"/>
        <v>142586.57684210548</v>
      </c>
      <c r="L15" s="108">
        <f t="shared" si="8"/>
        <v>20443.505263157655</v>
      </c>
      <c r="M15" s="108">
        <f t="shared" si="8"/>
        <v>99207.408421052853</v>
      </c>
      <c r="N15" s="108">
        <f t="shared" si="8"/>
        <v>14561.011578947189</v>
      </c>
      <c r="O15" s="108">
        <f t="shared" ref="O15" si="9">O13-O14</f>
        <v>34188.048421052634</v>
      </c>
      <c r="P15" s="212"/>
      <c r="Q15" s="212"/>
      <c r="R15" s="212"/>
      <c r="S15" s="212"/>
      <c r="T15" s="379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212"/>
      <c r="AH15" s="212"/>
      <c r="AI15" s="212"/>
      <c r="AJ15" s="379"/>
      <c r="AK15" s="108"/>
      <c r="AL15" s="108"/>
      <c r="AM15" s="108"/>
      <c r="AN15" s="108"/>
      <c r="AO15" s="108"/>
      <c r="AP15" s="108"/>
      <c r="AQ15" s="108"/>
      <c r="AR15" s="108"/>
      <c r="AS15" s="107"/>
      <c r="AT15" s="108"/>
      <c r="AU15" s="108"/>
      <c r="AV15" s="108"/>
      <c r="AW15" s="212"/>
      <c r="AX15" s="108"/>
    </row>
    <row r="16" spans="1:50">
      <c r="A16" s="59"/>
      <c r="B16" s="59"/>
      <c r="C16" s="2" t="s">
        <v>885</v>
      </c>
      <c r="D16" s="124">
        <f>D15/D13</f>
        <v>2.8592278496391659E-2</v>
      </c>
      <c r="E16" s="124">
        <f t="shared" ref="E16:N16" si="10">E15/E13</f>
        <v>1.2275775308191119E-2</v>
      </c>
      <c r="F16" s="124">
        <f t="shared" si="10"/>
        <v>9.6101211176557469E-2</v>
      </c>
      <c r="G16" s="124">
        <f t="shared" si="10"/>
        <v>1.661170798770013E-2</v>
      </c>
      <c r="H16" s="124">
        <f t="shared" si="10"/>
        <v>5.3260721683327385E-2</v>
      </c>
      <c r="I16" s="124">
        <f t="shared" si="10"/>
        <v>-1.9520979928904982E-2</v>
      </c>
      <c r="J16" s="124">
        <f t="shared" si="10"/>
        <v>1.2113799690220388E-2</v>
      </c>
      <c r="K16" s="124">
        <f t="shared" si="10"/>
        <v>6.5224817786778078E-2</v>
      </c>
      <c r="L16" s="124">
        <f t="shared" si="10"/>
        <v>1.1264370949425031E-2</v>
      </c>
      <c r="M16" s="124">
        <f t="shared" si="10"/>
        <v>9.3981794309701452E-2</v>
      </c>
      <c r="N16" s="124">
        <f t="shared" si="10"/>
        <v>2.21217363366378E-2</v>
      </c>
      <c r="O16" s="124">
        <f t="shared" ref="O16" si="11">O15/O13</f>
        <v>6.2552525704343456E-2</v>
      </c>
      <c r="P16" s="43"/>
      <c r="Q16" s="59"/>
      <c r="R16" s="59"/>
      <c r="S16" s="59"/>
      <c r="T16" s="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59"/>
      <c r="AH16" s="59"/>
      <c r="AI16" s="59"/>
      <c r="AJ16" s="2"/>
      <c r="AK16" s="22"/>
      <c r="AL16" s="22"/>
      <c r="AM16" s="22"/>
      <c r="AN16" s="22"/>
      <c r="AO16" s="22"/>
      <c r="AP16" s="22"/>
      <c r="AQ16" s="22"/>
      <c r="AR16" s="22"/>
      <c r="AS16" s="28"/>
      <c r="AT16" s="22"/>
      <c r="AU16" s="22"/>
      <c r="AV16" s="22"/>
      <c r="AW16" s="59"/>
    </row>
    <row r="17" spans="1:50">
      <c r="A17" s="59"/>
      <c r="B17" s="59"/>
      <c r="C17" s="2"/>
      <c r="D17" s="32"/>
      <c r="E17" s="32"/>
      <c r="F17" s="32"/>
      <c r="G17" s="32"/>
      <c r="H17" s="32"/>
      <c r="I17" s="22"/>
      <c r="J17" s="22"/>
      <c r="K17" s="22"/>
      <c r="L17" s="32"/>
      <c r="M17" s="16"/>
      <c r="N17" s="32"/>
      <c r="O17" s="32"/>
      <c r="P17" s="43"/>
      <c r="Q17" s="59"/>
      <c r="R17" s="59"/>
      <c r="S17" s="59"/>
      <c r="T17" s="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59"/>
      <c r="AH17" s="59"/>
      <c r="AI17" s="59"/>
      <c r="AJ17" s="2"/>
      <c r="AK17" s="22"/>
      <c r="AL17" s="22"/>
      <c r="AM17" s="22"/>
      <c r="AN17" s="22"/>
      <c r="AO17" s="22"/>
      <c r="AP17" s="22"/>
      <c r="AQ17" s="22"/>
      <c r="AR17" s="22"/>
      <c r="AS17" s="28"/>
      <c r="AT17" s="22"/>
      <c r="AU17" s="22"/>
      <c r="AV17" s="22"/>
      <c r="AW17" s="59"/>
    </row>
    <row r="18" spans="1:50">
      <c r="C18" s="2" t="s">
        <v>444</v>
      </c>
      <c r="D18" s="32">
        <f>('FT GAS'!G39*'FT GAS'!G117)</f>
        <v>6875630.4100333098</v>
      </c>
      <c r="E18" s="32">
        <f>('FT GAS'!H39*'FT GAS'!H117)</f>
        <v>6724037.7584235519</v>
      </c>
      <c r="F18" s="32">
        <f>('FT GAS'!I39*'FT GAS'!I117)</f>
        <v>3538837.1048625791</v>
      </c>
      <c r="G18" s="32">
        <f>('FT GAS'!J39*'FT GAS'!J117)</f>
        <v>5455152.7848474253</v>
      </c>
      <c r="H18" s="32">
        <f>('FT GAS'!K39*'FT GAS'!K117)</f>
        <v>5476111.5249976898</v>
      </c>
      <c r="I18" s="32">
        <f>('FT GAS'!L39*'FT GAS'!L117)</f>
        <v>6531723.1904053669</v>
      </c>
      <c r="J18" s="32">
        <f>('FT GAS'!M39*'FT GAS'!M117)</f>
        <v>8081770.546537186</v>
      </c>
      <c r="K18" s="32">
        <f>('FT GAS'!N39*'FT GAS'!N117)</f>
        <v>7432439.602629316</v>
      </c>
      <c r="L18" s="32">
        <f>('FT GAS'!O39*'FT GAS'!O117)</f>
        <v>4461152.0156088416</v>
      </c>
      <c r="M18" s="32">
        <f>('FT GAS'!P39*'FT GAS'!P117)</f>
        <v>6564201.2392401583</v>
      </c>
      <c r="N18" s="32">
        <f>('FT GAS'!Q39*'FT GAS'!Q117)</f>
        <v>5904639.8231211128</v>
      </c>
      <c r="O18" s="32">
        <f>('FT GAS'!R39*'FT GAS'!R117)</f>
        <v>4515281.9825338451</v>
      </c>
      <c r="P18" s="43">
        <f t="shared" ref="P18:P24" si="12">SUM(D18:O18)</f>
        <v>71560977.983240381</v>
      </c>
      <c r="T18" s="2" t="s">
        <v>444</v>
      </c>
      <c r="U18" s="32">
        <f>+'FT GAS'!X39*'FT GAS'!X117</f>
        <v>4443056.226808643</v>
      </c>
      <c r="V18" s="32">
        <f>+'FT GAS'!Y39*'FT GAS'!Y117</f>
        <v>4526076.9827847518</v>
      </c>
      <c r="W18" s="32">
        <f>+'FT GAS'!Z39*'FT GAS'!Z117</f>
        <v>3754206.6068634959</v>
      </c>
      <c r="X18" s="32">
        <f>+'FT GAS'!AA39*'FT GAS'!AA117</f>
        <v>5820361.5506671667</v>
      </c>
      <c r="Y18" s="32">
        <f>+'FT GAS'!AB39*'FT GAS'!AB117</f>
        <v>7264609.5795962289</v>
      </c>
      <c r="Z18" s="32">
        <f>+'FT GAS'!AC39*'FT GAS'!AC117</f>
        <v>6889233.7104149396</v>
      </c>
      <c r="AA18" s="32">
        <f>+'FT GAS'!AD39*'FT GAS'!AD117</f>
        <v>7818102.264951081</v>
      </c>
      <c r="AB18" s="32">
        <f>+'FT GAS'!AE39*'FT GAS'!AE117</f>
        <v>6543633.3690775624</v>
      </c>
      <c r="AC18" s="32">
        <f>+'FT GAS'!AF39*'FT GAS'!AF117</f>
        <v>6842756.2086876016</v>
      </c>
      <c r="AD18" s="32">
        <f>+'FT GAS'!AG39*'FT GAS'!AG117</f>
        <v>7140717.7873858549</v>
      </c>
      <c r="AE18" s="32">
        <f>+'FT GAS'!AH39*'FT GAS'!AH117</f>
        <v>5599747.6939630657</v>
      </c>
      <c r="AF18" s="32">
        <f>+'FT GAS'!AI39*'FT GAS'!AI117</f>
        <v>4571391.8702942515</v>
      </c>
      <c r="AG18" s="43">
        <f t="shared" si="3"/>
        <v>71213893.851494655</v>
      </c>
      <c r="AJ18" s="2" t="s">
        <v>444</v>
      </c>
      <c r="AK18" s="32">
        <f>+'FT GAS'!AO39*'FT GAS'!AO117</f>
        <v>4759580.6332141962</v>
      </c>
      <c r="AL18" s="32">
        <f>+'FT GAS'!AP39*'FT GAS'!AP117</f>
        <v>4858042.3273517778</v>
      </c>
      <c r="AM18" s="32">
        <f>+'FT GAS'!AQ39*'FT GAS'!AQ117</f>
        <v>4358763.4829145465</v>
      </c>
      <c r="AN18" s="32">
        <f>+'FT GAS'!AR39*'FT GAS'!AR117</f>
        <v>6700259.4105677549</v>
      </c>
      <c r="AO18" s="32">
        <f>+'FT GAS'!AS39*'FT GAS'!AS117</f>
        <v>8415223.3399703689</v>
      </c>
      <c r="AP18" s="32">
        <f>+'FT GAS'!AT39*'FT GAS'!AT117</f>
        <v>8068149.8676687935</v>
      </c>
      <c r="AQ18" s="32">
        <f>+'FT GAS'!AU39*'FT GAS'!AU117</f>
        <v>9176757.9296775814</v>
      </c>
      <c r="AR18" s="32">
        <f>+'FT GAS'!AV39*'FT GAS'!AV117</f>
        <v>7637404.3477798812</v>
      </c>
      <c r="AS18" s="32">
        <f>+'FT GAS'!AW39*'FT GAS'!AW117</f>
        <v>7860089.7027747463</v>
      </c>
      <c r="AT18" s="32">
        <f>+'FT GAS'!AX39*'FT GAS'!AX117</f>
        <v>7956141.7871119035</v>
      </c>
      <c r="AU18" s="32">
        <f>+'FT GAS'!AY39*'FT GAS'!AY117</f>
        <v>6279574.2737360187</v>
      </c>
      <c r="AV18" s="32">
        <f>+'FT GAS'!AZ39*'FT GAS'!AZ117</f>
        <v>5152167.6081693582</v>
      </c>
      <c r="AW18" s="43">
        <f>SUM(AK18:AV18)</f>
        <v>81222154.710936934</v>
      </c>
    </row>
    <row r="19" spans="1:50" s="369" customFormat="1">
      <c r="A19" s="254"/>
      <c r="B19" s="365"/>
      <c r="C19" s="391" t="s">
        <v>131</v>
      </c>
      <c r="D19" s="290">
        <f t="shared" ref="D19:L19" si="13">D23-D20</f>
        <v>2377282.4569702614</v>
      </c>
      <c r="E19" s="290">
        <f t="shared" si="13"/>
        <v>2506842.6243372713</v>
      </c>
      <c r="F19" s="290">
        <f t="shared" si="13"/>
        <v>1934936.7805048928</v>
      </c>
      <c r="G19" s="290">
        <f t="shared" si="13"/>
        <v>3146006.8912223219</v>
      </c>
      <c r="H19" s="290">
        <f t="shared" si="13"/>
        <v>6061281.2545856573</v>
      </c>
      <c r="I19" s="290">
        <f t="shared" si="13"/>
        <v>15215356.871730521</v>
      </c>
      <c r="J19" s="290">
        <f t="shared" si="13"/>
        <v>14815846.878085693</v>
      </c>
      <c r="K19" s="290">
        <f t="shared" si="13"/>
        <v>9169606.8198693935</v>
      </c>
      <c r="L19" s="290">
        <f t="shared" si="13"/>
        <v>7978119.8678620243</v>
      </c>
      <c r="M19" s="290">
        <f>('FT GAS'!P7*'FT GAS'!P117)</f>
        <v>5103942.2316017011</v>
      </c>
      <c r="N19" s="290">
        <f>('FT GAS'!Q7*'FT GAS'!Q117)</f>
        <v>3258942.595394623</v>
      </c>
      <c r="O19" s="290">
        <f>('FT GAS'!R7*'FT GAS'!R117)</f>
        <v>2244831.98538522</v>
      </c>
      <c r="P19" s="365">
        <f t="shared" si="12"/>
        <v>73812997.257549584</v>
      </c>
      <c r="Q19" s="365"/>
      <c r="R19" s="365"/>
      <c r="S19" s="365"/>
      <c r="T19" s="367" t="s">
        <v>131</v>
      </c>
      <c r="U19" s="368">
        <f>('FT GAS'!X7*'FT GAS'!X117)</f>
        <v>2376500.1490932074</v>
      </c>
      <c r="V19" s="368">
        <f>('FT GAS'!Y7*'FT GAS'!Y117)</f>
        <v>2334977.094287701</v>
      </c>
      <c r="W19" s="368">
        <f>('FT GAS'!Z7*'FT GAS'!Z117)</f>
        <v>2289840.0078348536</v>
      </c>
      <c r="X19" s="368">
        <f>('FT GAS'!AA7*'FT GAS'!AA117)</f>
        <v>4759318.4706612565</v>
      </c>
      <c r="Y19" s="366">
        <f>('FT GAS'!AB39*'FT GAS'!AB117)-'STORAGE TOT'!S12</f>
        <v>7264609.5795962289</v>
      </c>
      <c r="Z19" s="366">
        <f>('FT GAS'!AC39*'FT GAS'!AC117)-'STORAGE TOT'!T12</f>
        <v>10817398.896961298</v>
      </c>
      <c r="AA19" s="366">
        <f>('FT GAS'!AD39*'FT GAS'!AD117)-'STORAGE TOT'!U12</f>
        <v>12339116.757039992</v>
      </c>
      <c r="AB19" s="366">
        <f>('FT GAS'!AE39*'FT GAS'!AE117)-'STORAGE TOT'!V12</f>
        <v>10233746.91548791</v>
      </c>
      <c r="AC19" s="366">
        <f>('FT GAS'!AF39*'FT GAS'!AF117)-'STORAGE TOT'!W12</f>
        <v>8365603.9688828373</v>
      </c>
      <c r="AD19" s="368">
        <f>('FT GAS'!AG7*'FT GAS'!AG117)</f>
        <v>5380619.7731643617</v>
      </c>
      <c r="AE19" s="368">
        <f>('FT GAS'!AH7*'FT GAS'!AH117)</f>
        <v>3348209.3664466171</v>
      </c>
      <c r="AF19" s="368">
        <f>('FT GAS'!AI7*'FT GAS'!AI117)</f>
        <v>2336969.2974983398</v>
      </c>
      <c r="AG19" s="365">
        <f t="shared" si="3"/>
        <v>71846910.276954606</v>
      </c>
      <c r="AH19" s="254"/>
      <c r="AI19" s="365"/>
      <c r="AJ19" s="367" t="s">
        <v>131</v>
      </c>
      <c r="AK19" s="368">
        <f>('FT GAS'!AO7*'FT GAS'!AO117)</f>
        <v>2546785.5740141971</v>
      </c>
      <c r="AL19" s="368">
        <f>('FT GAS'!AP7*'FT GAS'!AP117)</f>
        <v>2508412.0816317778</v>
      </c>
      <c r="AM19" s="368">
        <f>('FT GAS'!AQ7*'FT GAS'!AQ117)</f>
        <v>2656281.5942745465</v>
      </c>
      <c r="AN19" s="368">
        <f>('FT GAS'!AR7*'FT GAS'!AR117)</f>
        <v>5466447.8857677542</v>
      </c>
      <c r="AO19" s="366">
        <f>('FT GAS'!AS39*'FT GAS'!AS117)-'STORAGE TOT'!AE12</f>
        <v>8415223.3399703689</v>
      </c>
      <c r="AP19" s="366">
        <f>('FT GAS'!AT39*'FT GAS'!AT117)-'STORAGE TOT'!AF12</f>
        <v>12083676.138045732</v>
      </c>
      <c r="AQ19" s="366">
        <f>('FT GAS'!AU39*'FT GAS'!AU117)-'STORAGE TOT'!AG12</f>
        <v>13792895.609270412</v>
      </c>
      <c r="AR19" s="366">
        <f>('FT GAS'!AV39*'FT GAS'!AV117)-'STORAGE TOT'!AH12</f>
        <v>11406200.33253493</v>
      </c>
      <c r="AS19" s="366">
        <f>('FT GAS'!AW39*'FT GAS'!AW117)-'STORAGE TOT'!AI12</f>
        <v>9425440.5162694156</v>
      </c>
      <c r="AT19" s="368">
        <f>('FT GAS'!AX7*'FT GAS'!AX117)</f>
        <v>6012499.5326719042</v>
      </c>
      <c r="AU19" s="368">
        <f>('FT GAS'!AY7*'FT GAS'!AY117)</f>
        <v>3772403.7556960182</v>
      </c>
      <c r="AV19" s="368">
        <f>('FT GAS'!AZ7*'FT GAS'!AZ117)</f>
        <v>2651955.1798293577</v>
      </c>
      <c r="AW19" s="365">
        <f>SUM(AK19:AV19)</f>
        <v>80738221.539976403</v>
      </c>
      <c r="AX19" s="254"/>
    </row>
    <row r="20" spans="1:50" s="112" customFormat="1">
      <c r="A20" s="43"/>
      <c r="B20" s="43"/>
      <c r="C20" s="392" t="s">
        <v>71</v>
      </c>
      <c r="D20" s="39">
        <f>+DEMAND!B108</f>
        <v>1597446.474529</v>
      </c>
      <c r="E20" s="39">
        <f>+DEMAND!C108</f>
        <v>1590093.49554</v>
      </c>
      <c r="F20" s="39">
        <f>+DEMAND!D108</f>
        <v>1582543.893283</v>
      </c>
      <c r="G20" s="39">
        <f>+DEMAND!E108</f>
        <v>1783386.1206359998</v>
      </c>
      <c r="H20" s="39">
        <f>+DEMAND!F108</f>
        <v>1775834.4198469999</v>
      </c>
      <c r="I20" s="39">
        <f>+DEMAND!G108</f>
        <v>1770817.9350380001</v>
      </c>
      <c r="J20" s="39">
        <f>+DEMAND!H108</f>
        <v>1780271.3415220003</v>
      </c>
      <c r="K20" s="39">
        <f>+DEMAND!I108</f>
        <v>1755976.4374349997</v>
      </c>
      <c r="L20" s="39">
        <f>+DEMAND!J108</f>
        <v>1770965.6590199999</v>
      </c>
      <c r="M20" s="39">
        <f>+DEMAND!K108</f>
        <v>1586935.25067</v>
      </c>
      <c r="N20" s="39">
        <f>+DEMAND!L108</f>
        <v>1716745.663312</v>
      </c>
      <c r="O20" s="39">
        <f>+DEMAND!M108</f>
        <v>1715042.3722279998</v>
      </c>
      <c r="P20" s="43">
        <f t="shared" si="12"/>
        <v>20426059.063060001</v>
      </c>
      <c r="Q20" s="43"/>
      <c r="R20" s="43"/>
      <c r="S20" s="43"/>
      <c r="T20" s="211" t="s">
        <v>71</v>
      </c>
      <c r="U20" s="32">
        <f>+DEMAND!T108</f>
        <v>1744142.645</v>
      </c>
      <c r="V20" s="32">
        <f>+DEMAND!U108</f>
        <v>1744142.645</v>
      </c>
      <c r="W20" s="32">
        <f>+DEMAND!V108</f>
        <v>1744142.645</v>
      </c>
      <c r="X20" s="32">
        <f>+DEMAND!W108</f>
        <v>1880190.3449999997</v>
      </c>
      <c r="Y20" s="32">
        <f>+DEMAND!X108</f>
        <v>1928352.7449999999</v>
      </c>
      <c r="Z20" s="32">
        <f>+DEMAND!Y108</f>
        <v>1928352.7449999999</v>
      </c>
      <c r="AA20" s="32">
        <f>+DEMAND!Z108</f>
        <v>1928352.7449999999</v>
      </c>
      <c r="AB20" s="32">
        <f>+DEMAND!AA108</f>
        <v>1928352.7449999999</v>
      </c>
      <c r="AC20" s="32">
        <f>+DEMAND!AB108</f>
        <v>1928352.7449999999</v>
      </c>
      <c r="AD20" s="32">
        <f>+DEMAND!AC108</f>
        <v>1744142.645</v>
      </c>
      <c r="AE20" s="32">
        <f>+DEMAND!AD108</f>
        <v>1744142.645</v>
      </c>
      <c r="AF20" s="32">
        <f>+DEMAND!AE108</f>
        <v>1744142.645</v>
      </c>
      <c r="AG20" s="43">
        <f t="shared" si="3"/>
        <v>21986809.939999998</v>
      </c>
      <c r="AH20" s="43"/>
      <c r="AI20" s="43"/>
      <c r="AJ20" s="211" t="s">
        <v>71</v>
      </c>
      <c r="AK20" s="32">
        <f>+DEMAND!AL108</f>
        <v>1744142.645</v>
      </c>
      <c r="AL20" s="32">
        <f>+DEMAND!AM108</f>
        <v>1744142.645</v>
      </c>
      <c r="AM20" s="32">
        <f>+DEMAND!AN108</f>
        <v>1744142.645</v>
      </c>
      <c r="AN20" s="32">
        <f>+DEMAND!AO108</f>
        <v>1880190.3449999997</v>
      </c>
      <c r="AO20" s="32">
        <f>+DEMAND!AP108</f>
        <v>1928352.7449999999</v>
      </c>
      <c r="AP20" s="32">
        <f>+DEMAND!AQ108</f>
        <v>1928352.7449999999</v>
      </c>
      <c r="AQ20" s="32">
        <f>+DEMAND!AR108</f>
        <v>1928352.7449999999</v>
      </c>
      <c r="AR20" s="32">
        <f>+DEMAND!AS108</f>
        <v>1928352.7449999999</v>
      </c>
      <c r="AS20" s="32">
        <f>+DEMAND!AT108</f>
        <v>1928352.7449999999</v>
      </c>
      <c r="AT20" s="32">
        <f>+DEMAND!AU108</f>
        <v>1744142.645</v>
      </c>
      <c r="AU20" s="32">
        <f>+DEMAND!AV108</f>
        <v>1744142.645</v>
      </c>
      <c r="AV20" s="32">
        <f>+DEMAND!AW108</f>
        <v>1744142.645</v>
      </c>
      <c r="AW20" s="43">
        <f>SUM(AK20:AV20)</f>
        <v>21986809.939999998</v>
      </c>
      <c r="AX20" s="32"/>
    </row>
    <row r="21" spans="1:50" s="112" customFormat="1">
      <c r="A21" s="43"/>
      <c r="B21" s="43"/>
      <c r="C21" s="5" t="s">
        <v>445</v>
      </c>
      <c r="D21" s="39">
        <f t="shared" ref="D21:O21" si="14">SUM(D18,D20)</f>
        <v>8473076.8845623098</v>
      </c>
      <c r="E21" s="39">
        <f t="shared" si="14"/>
        <v>8314131.2539635524</v>
      </c>
      <c r="F21" s="39">
        <f t="shared" si="14"/>
        <v>5121380.9981455794</v>
      </c>
      <c r="G21" s="39">
        <f t="shared" si="14"/>
        <v>7238538.9054834247</v>
      </c>
      <c r="H21" s="39">
        <f t="shared" si="14"/>
        <v>7251945.9448446892</v>
      </c>
      <c r="I21" s="39">
        <f t="shared" si="14"/>
        <v>8302541.1254433673</v>
      </c>
      <c r="J21" s="39">
        <f t="shared" si="14"/>
        <v>9862041.8880591858</v>
      </c>
      <c r="K21" s="39">
        <f t="shared" si="14"/>
        <v>9188416.0400643162</v>
      </c>
      <c r="L21" s="39">
        <f t="shared" si="14"/>
        <v>6232117.6746288417</v>
      </c>
      <c r="M21" s="39">
        <f t="shared" si="14"/>
        <v>8151136.4899101583</v>
      </c>
      <c r="N21" s="39">
        <f t="shared" si="14"/>
        <v>7621385.486433113</v>
      </c>
      <c r="O21" s="39">
        <f t="shared" si="14"/>
        <v>6230324.3547618445</v>
      </c>
      <c r="P21" s="43">
        <f t="shared" si="12"/>
        <v>91987037.046300381</v>
      </c>
      <c r="Q21" s="43"/>
      <c r="R21" s="43"/>
      <c r="S21" s="43"/>
      <c r="T21" s="5" t="s">
        <v>445</v>
      </c>
      <c r="U21" s="39">
        <f t="shared" ref="U21:AF21" si="15">SUM(U18,U20)</f>
        <v>6187198.8718086425</v>
      </c>
      <c r="V21" s="39">
        <f t="shared" si="15"/>
        <v>6270219.6277847514</v>
      </c>
      <c r="W21" s="39">
        <f t="shared" si="15"/>
        <v>5498349.2518634964</v>
      </c>
      <c r="X21" s="39">
        <f t="shared" si="15"/>
        <v>7700551.8956671664</v>
      </c>
      <c r="Y21" s="39">
        <f t="shared" si="15"/>
        <v>9192962.3245962281</v>
      </c>
      <c r="Z21" s="39">
        <f t="shared" si="15"/>
        <v>8817586.4554149397</v>
      </c>
      <c r="AA21" s="39">
        <f t="shared" si="15"/>
        <v>9746455.0099510811</v>
      </c>
      <c r="AB21" s="39">
        <f t="shared" si="15"/>
        <v>8471986.1140775625</v>
      </c>
      <c r="AC21" s="39">
        <f t="shared" si="15"/>
        <v>8771108.9536876008</v>
      </c>
      <c r="AD21" s="39">
        <f t="shared" si="15"/>
        <v>8884860.4323858544</v>
      </c>
      <c r="AE21" s="39">
        <f t="shared" si="15"/>
        <v>7343890.3389630653</v>
      </c>
      <c r="AF21" s="39">
        <f t="shared" si="15"/>
        <v>6315534.515294252</v>
      </c>
      <c r="AG21" s="43">
        <f t="shared" si="3"/>
        <v>93200703.791494638</v>
      </c>
      <c r="AH21" s="43"/>
      <c r="AI21" s="43"/>
      <c r="AJ21" s="5" t="s">
        <v>445</v>
      </c>
      <c r="AK21" s="39">
        <f t="shared" ref="AK21:AV21" si="16">SUM(AK18,AK20)</f>
        <v>6503723.2782141957</v>
      </c>
      <c r="AL21" s="39">
        <f t="shared" si="16"/>
        <v>6602184.9723517783</v>
      </c>
      <c r="AM21" s="39">
        <f t="shared" si="16"/>
        <v>6102906.1279145461</v>
      </c>
      <c r="AN21" s="39">
        <f t="shared" si="16"/>
        <v>8580449.7555677556</v>
      </c>
      <c r="AO21" s="39">
        <f t="shared" si="16"/>
        <v>10343576.084970368</v>
      </c>
      <c r="AP21" s="39">
        <f t="shared" si="16"/>
        <v>9996502.6126687936</v>
      </c>
      <c r="AQ21" s="39">
        <f t="shared" si="16"/>
        <v>11105110.674677581</v>
      </c>
      <c r="AR21" s="39">
        <f t="shared" si="16"/>
        <v>9565757.0927798804</v>
      </c>
      <c r="AS21" s="39">
        <f t="shared" si="16"/>
        <v>9788442.4477747455</v>
      </c>
      <c r="AT21" s="39">
        <f t="shared" si="16"/>
        <v>9700284.432111904</v>
      </c>
      <c r="AU21" s="39">
        <f t="shared" si="16"/>
        <v>8023716.9187360182</v>
      </c>
      <c r="AV21" s="39">
        <f t="shared" si="16"/>
        <v>6896310.2531693578</v>
      </c>
      <c r="AW21" s="43">
        <f>SUM(AK21:AV21)</f>
        <v>103208964.65093693</v>
      </c>
      <c r="AX21" s="32"/>
    </row>
    <row r="22" spans="1:50" s="112" customFormat="1">
      <c r="A22" s="43"/>
      <c r="B22" s="43"/>
      <c r="C22" s="5" t="s">
        <v>446</v>
      </c>
      <c r="D22" s="188">
        <v>8474325.8499999996</v>
      </c>
      <c r="E22" s="188">
        <v>8484022.2699999996</v>
      </c>
      <c r="F22" s="188">
        <v>5007760.51</v>
      </c>
      <c r="G22" s="188">
        <v>5820773.7999999998</v>
      </c>
      <c r="H22" s="188">
        <v>7209736.0800000001</v>
      </c>
      <c r="I22" s="188">
        <v>12682219.65</v>
      </c>
      <c r="J22" s="188">
        <v>12603929.82</v>
      </c>
      <c r="K22" s="188">
        <v>8455528.9700000007</v>
      </c>
      <c r="L22" s="437">
        <v>6231902.1399999997</v>
      </c>
      <c r="M22" s="437">
        <v>6691527.7000000002</v>
      </c>
      <c r="N22" s="437">
        <v>7155437.0899999999</v>
      </c>
      <c r="O22" s="437">
        <v>6209024.7999999998</v>
      </c>
      <c r="P22" s="43">
        <f t="shared" si="12"/>
        <v>95026188.680000007</v>
      </c>
      <c r="Q22" s="43"/>
      <c r="R22" s="43"/>
      <c r="S22" s="43"/>
      <c r="T22" s="5" t="s">
        <v>446</v>
      </c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43"/>
      <c r="AH22" s="43"/>
      <c r="AI22" s="43"/>
      <c r="AJ22" s="5" t="s">
        <v>446</v>
      </c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43"/>
      <c r="AX22" s="32"/>
    </row>
    <row r="23" spans="1:50">
      <c r="A23" s="43"/>
      <c r="B23" s="43"/>
      <c r="C23" s="8" t="s">
        <v>132</v>
      </c>
      <c r="D23" s="188">
        <v>3974728.9314992614</v>
      </c>
      <c r="E23" s="188">
        <v>4096936.1198772714</v>
      </c>
      <c r="F23" s="188">
        <v>3517480.6737878928</v>
      </c>
      <c r="G23" s="188">
        <v>4929393.0118583217</v>
      </c>
      <c r="H23" s="188">
        <v>7837115.6744326577</v>
      </c>
      <c r="I23" s="188">
        <v>16986174.806768522</v>
      </c>
      <c r="J23" s="188">
        <v>16596118.219607694</v>
      </c>
      <c r="K23" s="188">
        <v>10925583.257304393</v>
      </c>
      <c r="L23" s="437">
        <v>9749085.5268820245</v>
      </c>
      <c r="M23" s="437">
        <v>5661841.2090871809</v>
      </c>
      <c r="N23" s="437">
        <v>4442946.7294363808</v>
      </c>
      <c r="O23" s="437">
        <v>3874395.2389474297</v>
      </c>
      <c r="P23" s="42">
        <f t="shared" si="12"/>
        <v>92591799.39948903</v>
      </c>
      <c r="Q23" s="199"/>
      <c r="R23" s="140"/>
      <c r="T23" s="2" t="s">
        <v>132</v>
      </c>
      <c r="U23" s="32">
        <f t="shared" ref="U23:AF23" si="17">SUM(U19:U20)</f>
        <v>4120642.7940932075</v>
      </c>
      <c r="V23" s="32">
        <f t="shared" si="17"/>
        <v>4079119.739287701</v>
      </c>
      <c r="W23" s="32">
        <f t="shared" si="17"/>
        <v>4033982.6528348536</v>
      </c>
      <c r="X23" s="32">
        <f t="shared" si="17"/>
        <v>6639508.8156612562</v>
      </c>
      <c r="Y23" s="32">
        <f t="shared" si="17"/>
        <v>9192962.3245962281</v>
      </c>
      <c r="Z23" s="32">
        <f t="shared" si="17"/>
        <v>12745751.641961297</v>
      </c>
      <c r="AA23" s="32">
        <f t="shared" si="17"/>
        <v>14267469.502039991</v>
      </c>
      <c r="AB23" s="32">
        <f t="shared" si="17"/>
        <v>12162099.660487909</v>
      </c>
      <c r="AC23" s="39">
        <f t="shared" si="17"/>
        <v>10293956.713882837</v>
      </c>
      <c r="AD23" s="32">
        <f t="shared" si="17"/>
        <v>7124762.4181643613</v>
      </c>
      <c r="AE23" s="32">
        <f t="shared" si="17"/>
        <v>5092352.0114466175</v>
      </c>
      <c r="AF23" s="32">
        <f t="shared" si="17"/>
        <v>4081111.9424983398</v>
      </c>
      <c r="AG23" s="42">
        <f>SUM(U23:AF23)</f>
        <v>93833720.216954604</v>
      </c>
      <c r="AH23" s="43"/>
      <c r="AI23" s="43"/>
      <c r="AJ23" s="2" t="s">
        <v>132</v>
      </c>
      <c r="AK23" s="32">
        <f t="shared" ref="AK23:AV23" si="18">SUM(AK19:AK20)</f>
        <v>4290928.2190141976</v>
      </c>
      <c r="AL23" s="32">
        <f t="shared" si="18"/>
        <v>4252554.7266317774</v>
      </c>
      <c r="AM23" s="32">
        <f t="shared" si="18"/>
        <v>4400424.2392745465</v>
      </c>
      <c r="AN23" s="32">
        <f t="shared" si="18"/>
        <v>7346638.2307677539</v>
      </c>
      <c r="AO23" s="32">
        <f t="shared" si="18"/>
        <v>10343576.084970368</v>
      </c>
      <c r="AP23" s="32">
        <f t="shared" si="18"/>
        <v>14012028.883045731</v>
      </c>
      <c r="AQ23" s="32">
        <f t="shared" si="18"/>
        <v>15721248.354270412</v>
      </c>
      <c r="AR23" s="32">
        <f t="shared" si="18"/>
        <v>13334553.077534929</v>
      </c>
      <c r="AS23" s="39">
        <f t="shared" si="18"/>
        <v>11353793.261269415</v>
      </c>
      <c r="AT23" s="32">
        <f t="shared" si="18"/>
        <v>7756642.1776719037</v>
      </c>
      <c r="AU23" s="32">
        <f t="shared" si="18"/>
        <v>5516546.4006960187</v>
      </c>
      <c r="AV23" s="32">
        <f t="shared" si="18"/>
        <v>4396097.8248293577</v>
      </c>
      <c r="AW23" s="42">
        <f>SUM(AK23:AV23)</f>
        <v>102725031.47997643</v>
      </c>
    </row>
    <row r="24" spans="1:50">
      <c r="A24" s="43"/>
      <c r="B24" s="43"/>
      <c r="C24" s="193" t="s">
        <v>443</v>
      </c>
      <c r="D24" s="194"/>
      <c r="E24" s="194"/>
      <c r="F24" s="194"/>
      <c r="G24" s="194"/>
      <c r="H24" s="194"/>
      <c r="I24" s="42"/>
      <c r="J24" s="42"/>
      <c r="K24" s="42"/>
      <c r="L24" s="42"/>
      <c r="M24" s="194"/>
      <c r="N24" s="194"/>
      <c r="O24" s="194"/>
      <c r="P24" s="42">
        <f t="shared" si="12"/>
        <v>0</v>
      </c>
      <c r="Q24" s="140"/>
      <c r="R24" s="140"/>
      <c r="S24" s="43"/>
      <c r="T24" s="2"/>
      <c r="U24" s="32"/>
      <c r="V24" s="32"/>
      <c r="W24" s="32"/>
      <c r="X24" s="32"/>
      <c r="Y24" s="39"/>
      <c r="Z24" s="39"/>
      <c r="AA24" s="39"/>
      <c r="AB24" s="39"/>
      <c r="AC24" s="39"/>
      <c r="AD24" s="32"/>
      <c r="AE24" s="32"/>
      <c r="AF24" s="32"/>
      <c r="AG24" s="199">
        <f>SUM(U24:AF24)</f>
        <v>0</v>
      </c>
      <c r="AH24" s="43"/>
      <c r="AI24" s="43"/>
      <c r="AJ24" s="2"/>
      <c r="AK24" s="32"/>
      <c r="AL24" s="32"/>
      <c r="AM24" s="32"/>
      <c r="AN24" s="32"/>
      <c r="AO24" s="32"/>
      <c r="AP24" s="32"/>
      <c r="AQ24" s="32"/>
      <c r="AR24" s="32"/>
      <c r="AS24" s="39"/>
      <c r="AT24" s="32"/>
      <c r="AU24" s="32"/>
      <c r="AV24" s="32"/>
      <c r="AW24" s="199"/>
    </row>
    <row r="25" spans="1:50">
      <c r="A25" s="43"/>
      <c r="B25" s="43"/>
      <c r="C25" s="2" t="s">
        <v>366</v>
      </c>
      <c r="D25" s="32">
        <f>D23</f>
        <v>3974728.9314992614</v>
      </c>
      <c r="E25" s="32">
        <f t="shared" ref="E25:O25" si="19">D25+E23</f>
        <v>8071665.0513765328</v>
      </c>
      <c r="F25" s="32">
        <f t="shared" si="19"/>
        <v>11589145.725164425</v>
      </c>
      <c r="G25" s="32">
        <f t="shared" si="19"/>
        <v>16518538.737022746</v>
      </c>
      <c r="H25" s="32">
        <f t="shared" si="19"/>
        <v>24355654.411455404</v>
      </c>
      <c r="I25" s="32">
        <f t="shared" si="19"/>
        <v>41341829.218223929</v>
      </c>
      <c r="J25" s="32">
        <f t="shared" si="19"/>
        <v>57937947.437831625</v>
      </c>
      <c r="K25" s="32">
        <f t="shared" si="19"/>
        <v>68863530.695136011</v>
      </c>
      <c r="L25" s="39">
        <f t="shared" si="19"/>
        <v>78612616.222018033</v>
      </c>
      <c r="M25" s="32">
        <f t="shared" si="19"/>
        <v>84274457.431105211</v>
      </c>
      <c r="N25" s="32">
        <f t="shared" si="19"/>
        <v>88717404.160541594</v>
      </c>
      <c r="O25" s="32">
        <f t="shared" si="19"/>
        <v>92591799.39948903</v>
      </c>
      <c r="P25" s="43"/>
      <c r="Q25" s="43"/>
      <c r="R25" s="43"/>
      <c r="S25" s="43"/>
      <c r="T25" s="2" t="s">
        <v>366</v>
      </c>
      <c r="U25" s="32">
        <f>U23</f>
        <v>4120642.7940932075</v>
      </c>
      <c r="V25" s="32">
        <f t="shared" ref="V25:AF25" si="20">U25+V23</f>
        <v>8199762.5333809089</v>
      </c>
      <c r="W25" s="32">
        <f t="shared" si="20"/>
        <v>12233745.186215762</v>
      </c>
      <c r="X25" s="32">
        <f t="shared" si="20"/>
        <v>18873254.001877017</v>
      </c>
      <c r="Y25" s="32">
        <f t="shared" si="20"/>
        <v>28066216.326473244</v>
      </c>
      <c r="Z25" s="32">
        <f t="shared" si="20"/>
        <v>40811967.968434542</v>
      </c>
      <c r="AA25" s="32">
        <f t="shared" si="20"/>
        <v>55079437.470474534</v>
      </c>
      <c r="AB25" s="32">
        <f t="shared" si="20"/>
        <v>67241537.130962446</v>
      </c>
      <c r="AC25" s="39">
        <f t="shared" si="20"/>
        <v>77535493.84484528</v>
      </c>
      <c r="AD25" s="32">
        <f t="shared" si="20"/>
        <v>84660256.263009638</v>
      </c>
      <c r="AE25" s="32">
        <f t="shared" si="20"/>
        <v>89752608.274456263</v>
      </c>
      <c r="AF25" s="32">
        <f t="shared" si="20"/>
        <v>93833720.216954604</v>
      </c>
      <c r="AG25" s="43"/>
      <c r="AH25" s="43"/>
      <c r="AI25" s="43"/>
      <c r="AJ25" s="2" t="s">
        <v>366</v>
      </c>
      <c r="AK25" s="32">
        <f>AK23</f>
        <v>4290928.2190141976</v>
      </c>
      <c r="AL25" s="32">
        <f t="shared" ref="AL25:AV25" si="21">AK25+AL23</f>
        <v>8543482.9456459749</v>
      </c>
      <c r="AM25" s="32">
        <f t="shared" si="21"/>
        <v>12943907.184920521</v>
      </c>
      <c r="AN25" s="32">
        <f t="shared" si="21"/>
        <v>20290545.415688276</v>
      </c>
      <c r="AO25" s="32">
        <f t="shared" si="21"/>
        <v>30634121.500658646</v>
      </c>
      <c r="AP25" s="32">
        <f t="shared" si="21"/>
        <v>44646150.383704379</v>
      </c>
      <c r="AQ25" s="32">
        <f t="shared" si="21"/>
        <v>60367398.737974793</v>
      </c>
      <c r="AR25" s="32">
        <f t="shared" si="21"/>
        <v>73701951.815509722</v>
      </c>
      <c r="AS25" s="39">
        <f t="shared" si="21"/>
        <v>85055745.076779142</v>
      </c>
      <c r="AT25" s="32">
        <f t="shared" si="21"/>
        <v>92812387.254451051</v>
      </c>
      <c r="AU25" s="32">
        <f t="shared" si="21"/>
        <v>98328933.655147076</v>
      </c>
      <c r="AV25" s="32">
        <f t="shared" si="21"/>
        <v>102725031.47997643</v>
      </c>
      <c r="AW25" s="43"/>
    </row>
    <row r="26" spans="1:50" s="37" customFormat="1">
      <c r="A26" s="199"/>
      <c r="B26" s="199"/>
      <c r="C26" s="193" t="s">
        <v>318</v>
      </c>
      <c r="D26" s="206">
        <f t="shared" ref="D26:P26" si="22">D23/D12</f>
        <v>8.6422781935760149</v>
      </c>
      <c r="E26" s="206">
        <f t="shared" si="22"/>
        <v>8.4696473451722909</v>
      </c>
      <c r="F26" s="206">
        <f t="shared" si="22"/>
        <v>6.664874212314392</v>
      </c>
      <c r="G26" s="206">
        <f t="shared" si="22"/>
        <v>6.3385226618622399</v>
      </c>
      <c r="H26" s="206">
        <f t="shared" si="22"/>
        <v>5.1842955633501431</v>
      </c>
      <c r="I26" s="206">
        <f t="shared" si="22"/>
        <v>5.6795611618740924</v>
      </c>
      <c r="J26" s="206">
        <f t="shared" si="22"/>
        <v>5.5302125929760182</v>
      </c>
      <c r="K26" s="206">
        <f t="shared" si="22"/>
        <v>5.4712756622578764</v>
      </c>
      <c r="L26" s="206">
        <f t="shared" si="22"/>
        <v>5.8806481545893119</v>
      </c>
      <c r="M26" s="206">
        <f t="shared" si="22"/>
        <v>5.8717431073397401</v>
      </c>
      <c r="N26" s="206">
        <f t="shared" si="22"/>
        <v>7.3893885734639788</v>
      </c>
      <c r="O26" s="206">
        <f t="shared" si="22"/>
        <v>7.7604015907549462</v>
      </c>
      <c r="P26" s="136">
        <f t="shared" si="22"/>
        <v>5.9844652015727346</v>
      </c>
      <c r="Q26" s="197"/>
      <c r="R26" s="199"/>
      <c r="S26" s="199"/>
      <c r="T26" s="170" t="s">
        <v>318</v>
      </c>
      <c r="U26" s="17">
        <f t="shared" ref="U26:AG26" si="23">U23/U12</f>
        <v>8.4242345594220645</v>
      </c>
      <c r="V26" s="17">
        <f t="shared" si="23"/>
        <v>8.5169476297687261</v>
      </c>
      <c r="W26" s="17">
        <f t="shared" si="23"/>
        <v>7.9743007038429115</v>
      </c>
      <c r="X26" s="17">
        <f t="shared" si="23"/>
        <v>6.417082399933796</v>
      </c>
      <c r="Y26" s="17">
        <f t="shared" si="23"/>
        <v>5.9974300554273174</v>
      </c>
      <c r="Z26" s="17">
        <f t="shared" si="23"/>
        <v>5.858255699814249</v>
      </c>
      <c r="AA26" s="17">
        <f t="shared" si="23"/>
        <v>5.8392359626871384</v>
      </c>
      <c r="AB26" s="17">
        <f t="shared" si="23"/>
        <v>5.9919551012932111</v>
      </c>
      <c r="AC26" s="17">
        <f t="shared" si="23"/>
        <v>6.1971393382432511</v>
      </c>
      <c r="AD26" s="17">
        <f t="shared" si="23"/>
        <v>6.6210487202909727</v>
      </c>
      <c r="AE26" s="17">
        <f t="shared" si="23"/>
        <v>7.5439297767612095</v>
      </c>
      <c r="AF26" s="17">
        <f t="shared" si="23"/>
        <v>8.662381266313151</v>
      </c>
      <c r="AG26" s="197">
        <f t="shared" si="23"/>
        <v>6.4386275711979808</v>
      </c>
      <c r="AH26" s="199"/>
      <c r="AI26" s="199"/>
      <c r="AJ26" s="170" t="s">
        <v>318</v>
      </c>
      <c r="AK26" s="17">
        <f t="shared" ref="AK26:AW26" si="24">AK23/AK12</f>
        <v>8.6534225131346751</v>
      </c>
      <c r="AL26" s="17">
        <f t="shared" si="24"/>
        <v>8.7561505885180093</v>
      </c>
      <c r="AM26" s="17">
        <f t="shared" si="24"/>
        <v>8.5775397887262894</v>
      </c>
      <c r="AN26" s="17">
        <f t="shared" si="24"/>
        <v>7.0230527920402945</v>
      </c>
      <c r="AO26" s="17">
        <f t="shared" si="24"/>
        <v>6.6636855284244874</v>
      </c>
      <c r="AP26" s="17">
        <f t="shared" si="24"/>
        <v>6.3727778401910049</v>
      </c>
      <c r="AQ26" s="17">
        <f t="shared" si="24"/>
        <v>6.3687784864464154</v>
      </c>
      <c r="AR26" s="17">
        <f t="shared" si="24"/>
        <v>6.5115182255449477</v>
      </c>
      <c r="AS26" s="17">
        <f t="shared" si="24"/>
        <v>6.7639996579718318</v>
      </c>
      <c r="AT26" s="17">
        <f t="shared" si="24"/>
        <v>7.1227656533172228</v>
      </c>
      <c r="AU26" s="17">
        <f t="shared" si="24"/>
        <v>8.0762443299819129</v>
      </c>
      <c r="AV26" s="17">
        <f t="shared" si="24"/>
        <v>9.1997467678906375</v>
      </c>
      <c r="AW26" s="197">
        <f t="shared" si="24"/>
        <v>6.970847963949657</v>
      </c>
      <c r="AX26" s="24"/>
    </row>
    <row r="27" spans="1:50">
      <c r="A27" s="43"/>
      <c r="B27" s="43"/>
      <c r="C27" s="2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43"/>
      <c r="Q27" s="43"/>
      <c r="R27" s="43"/>
      <c r="S27" s="43"/>
      <c r="T27" s="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43"/>
      <c r="AH27" s="43"/>
      <c r="AI27" s="43"/>
      <c r="AJ27" s="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43"/>
    </row>
    <row r="28" spans="1:50" s="37" customFormat="1">
      <c r="A28" s="199"/>
      <c r="B28" s="199"/>
      <c r="C28" s="193" t="s">
        <v>313</v>
      </c>
      <c r="D28" s="194">
        <f t="shared" ref="D28:O28" si="25">SUM(D78,D83,D59,D71)</f>
        <v>3166294.177801047</v>
      </c>
      <c r="E28" s="194">
        <f t="shared" si="25"/>
        <v>3334658.747031414</v>
      </c>
      <c r="F28" s="194">
        <f t="shared" si="25"/>
        <v>3281448.4412041884</v>
      </c>
      <c r="G28" s="194">
        <f t="shared" si="25"/>
        <v>5095987.4927923214</v>
      </c>
      <c r="H28" s="194">
        <f t="shared" si="25"/>
        <v>10175314.631869111</v>
      </c>
      <c r="I28" s="194">
        <f t="shared" si="25"/>
        <v>19874317.898701571</v>
      </c>
      <c r="J28" s="194">
        <f t="shared" si="25"/>
        <v>19885443.652680628</v>
      </c>
      <c r="K28" s="194">
        <f t="shared" si="25"/>
        <v>12480478.137832461</v>
      </c>
      <c r="L28" s="194">
        <f t="shared" si="25"/>
        <v>10210341.432858638</v>
      </c>
      <c r="M28" s="194">
        <f t="shared" si="25"/>
        <v>5862153.0962094245</v>
      </c>
      <c r="N28" s="194">
        <f t="shared" si="25"/>
        <v>3746227.194935428</v>
      </c>
      <c r="O28" s="194">
        <f t="shared" si="25"/>
        <v>3129383.5991553226</v>
      </c>
      <c r="P28" s="42">
        <f>SUM(D28:O28)</f>
        <v>100242048.50307156</v>
      </c>
      <c r="Q28" s="197">
        <f>P28/P12</f>
        <v>6.4789220524027158</v>
      </c>
      <c r="R28" s="199"/>
      <c r="S28" s="199"/>
      <c r="T28" s="170" t="s">
        <v>313</v>
      </c>
      <c r="U28" s="39">
        <f t="shared" ref="U28:AF28" si="26">SUM(U78,U83,U59,U71)</f>
        <v>3050941.7263882165</v>
      </c>
      <c r="V28" s="39">
        <f t="shared" si="26"/>
        <v>3003838.1173131727</v>
      </c>
      <c r="W28" s="39">
        <f t="shared" si="26"/>
        <v>3125629.9862757111</v>
      </c>
      <c r="X28" s="39">
        <f t="shared" si="26"/>
        <v>6296163.7810721165</v>
      </c>
      <c r="Y28" s="39">
        <f t="shared" si="26"/>
        <v>9526309.2362808008</v>
      </c>
      <c r="Z28" s="39">
        <f t="shared" si="26"/>
        <v>13619257.419804839</v>
      </c>
      <c r="AA28" s="39">
        <f t="shared" si="26"/>
        <v>15356574.34721794</v>
      </c>
      <c r="AB28" s="39">
        <f t="shared" si="26"/>
        <v>12775142.444932511</v>
      </c>
      <c r="AC28" s="39">
        <f t="shared" si="26"/>
        <v>10445905.662322175</v>
      </c>
      <c r="AD28" s="39">
        <f t="shared" si="26"/>
        <v>6712770.3657737859</v>
      </c>
      <c r="AE28" s="39">
        <f t="shared" si="26"/>
        <v>4229328.3594439458</v>
      </c>
      <c r="AF28" s="39">
        <f t="shared" si="26"/>
        <v>2978315.2190853711</v>
      </c>
      <c r="AG28" s="199">
        <f>SUM(U28:AF28)</f>
        <v>91120176.665910587</v>
      </c>
      <c r="AH28" s="199"/>
      <c r="AI28" s="199"/>
      <c r="AJ28" s="170" t="s">
        <v>313</v>
      </c>
      <c r="AK28" s="39">
        <f t="shared" ref="AK28:AV28" si="27">SUM(AK78,AK83,AK59,AK71)</f>
        <v>3125498.2798754964</v>
      </c>
      <c r="AL28" s="39">
        <f t="shared" si="27"/>
        <v>3079391.6411320409</v>
      </c>
      <c r="AM28" s="39">
        <f t="shared" si="27"/>
        <v>3281942.9522759919</v>
      </c>
      <c r="AN28" s="39">
        <f t="shared" si="27"/>
        <v>6553078.6620832067</v>
      </c>
      <c r="AO28" s="39">
        <f t="shared" si="27"/>
        <v>9838226.3574124854</v>
      </c>
      <c r="AP28" s="39">
        <f t="shared" si="27"/>
        <v>14005108.198694602</v>
      </c>
      <c r="AQ28" s="39">
        <f t="shared" si="27"/>
        <v>15778292.324935649</v>
      </c>
      <c r="AR28" s="39">
        <f t="shared" si="27"/>
        <v>13113246.493261825</v>
      </c>
      <c r="AS28" s="39">
        <f t="shared" si="27"/>
        <v>10742071.691414369</v>
      </c>
      <c r="AT28" s="39">
        <f t="shared" si="27"/>
        <v>6926935.1294808695</v>
      </c>
      <c r="AU28" s="39">
        <f t="shared" si="27"/>
        <v>4385268.5509664519</v>
      </c>
      <c r="AV28" s="39">
        <f t="shared" si="27"/>
        <v>3112419.7547182227</v>
      </c>
      <c r="AW28" s="199">
        <f>SUM(AK28:AV28)</f>
        <v>93941480.036251232</v>
      </c>
      <c r="AX28" s="24"/>
    </row>
    <row r="29" spans="1:50" s="37" customFormat="1">
      <c r="A29" s="199"/>
      <c r="B29" s="199"/>
      <c r="C29" s="193" t="s">
        <v>622</v>
      </c>
      <c r="D29" s="194">
        <f>D28</f>
        <v>3166294.177801047</v>
      </c>
      <c r="E29" s="194">
        <f>D29+E28</f>
        <v>6500952.9248324614</v>
      </c>
      <c r="F29" s="194">
        <f t="shared" ref="F29:O29" si="28">E29+F28</f>
        <v>9782401.3660366498</v>
      </c>
      <c r="G29" s="194">
        <f t="shared" si="28"/>
        <v>14878388.858828971</v>
      </c>
      <c r="H29" s="194">
        <f t="shared" si="28"/>
        <v>25053703.490698084</v>
      </c>
      <c r="I29" s="194">
        <f t="shared" si="28"/>
        <v>44928021.389399655</v>
      </c>
      <c r="J29" s="194">
        <f t="shared" si="28"/>
        <v>64813465.042080283</v>
      </c>
      <c r="K29" s="194">
        <f t="shared" si="28"/>
        <v>77293943.179912746</v>
      </c>
      <c r="L29" s="194">
        <f t="shared" si="28"/>
        <v>87504284.612771392</v>
      </c>
      <c r="M29" s="194">
        <f t="shared" si="28"/>
        <v>93366437.708980814</v>
      </c>
      <c r="N29" s="194">
        <f t="shared" si="28"/>
        <v>97112664.90391624</v>
      </c>
      <c r="O29" s="194">
        <f t="shared" si="28"/>
        <v>100242048.50307156</v>
      </c>
      <c r="P29" s="42"/>
      <c r="Q29" s="199"/>
      <c r="R29" s="199"/>
      <c r="S29" s="199"/>
      <c r="T29" s="170" t="s">
        <v>314</v>
      </c>
      <c r="U29" s="39">
        <f>U28</f>
        <v>3050941.7263882165</v>
      </c>
      <c r="V29" s="39">
        <f t="shared" ref="V29:AF29" si="29">U29+V28</f>
        <v>6054779.8437013887</v>
      </c>
      <c r="W29" s="39">
        <f t="shared" si="29"/>
        <v>9180409.8299770989</v>
      </c>
      <c r="X29" s="39">
        <f t="shared" si="29"/>
        <v>15476573.611049216</v>
      </c>
      <c r="Y29" s="39">
        <f t="shared" si="29"/>
        <v>25002882.847330019</v>
      </c>
      <c r="Z29" s="39">
        <f t="shared" si="29"/>
        <v>38622140.26713486</v>
      </c>
      <c r="AA29" s="39">
        <f t="shared" si="29"/>
        <v>53978714.6143528</v>
      </c>
      <c r="AB29" s="39">
        <f t="shared" si="29"/>
        <v>66753857.059285313</v>
      </c>
      <c r="AC29" s="39">
        <f t="shared" si="29"/>
        <v>77199762.721607491</v>
      </c>
      <c r="AD29" s="39">
        <f t="shared" si="29"/>
        <v>83912533.087381274</v>
      </c>
      <c r="AE29" s="39">
        <f t="shared" si="29"/>
        <v>88141861.446825221</v>
      </c>
      <c r="AF29" s="39">
        <f t="shared" si="29"/>
        <v>91120176.665910587</v>
      </c>
      <c r="AG29" s="199"/>
      <c r="AH29" s="199"/>
      <c r="AI29" s="199"/>
      <c r="AJ29" s="170" t="s">
        <v>314</v>
      </c>
      <c r="AK29" s="39">
        <f>AK28</f>
        <v>3125498.2798754964</v>
      </c>
      <c r="AL29" s="39">
        <f t="shared" ref="AL29:AV29" si="30">AK29+AL28</f>
        <v>6204889.9210075373</v>
      </c>
      <c r="AM29" s="39">
        <f t="shared" si="30"/>
        <v>9486832.8732835297</v>
      </c>
      <c r="AN29" s="39">
        <f t="shared" si="30"/>
        <v>16039911.535366736</v>
      </c>
      <c r="AO29" s="39">
        <f t="shared" si="30"/>
        <v>25878137.892779224</v>
      </c>
      <c r="AP29" s="39">
        <f t="shared" si="30"/>
        <v>39883246.091473825</v>
      </c>
      <c r="AQ29" s="39">
        <f t="shared" si="30"/>
        <v>55661538.416409478</v>
      </c>
      <c r="AR29" s="39">
        <f t="shared" si="30"/>
        <v>68774784.909671307</v>
      </c>
      <c r="AS29" s="39">
        <f t="shared" si="30"/>
        <v>79516856.601085678</v>
      </c>
      <c r="AT29" s="39">
        <f t="shared" si="30"/>
        <v>86443791.730566546</v>
      </c>
      <c r="AU29" s="39">
        <f t="shared" si="30"/>
        <v>90829060.281533003</v>
      </c>
      <c r="AV29" s="39">
        <f t="shared" si="30"/>
        <v>93941480.036251232</v>
      </c>
      <c r="AW29" s="199"/>
      <c r="AX29" s="24"/>
    </row>
    <row r="30" spans="1:50" s="37" customFormat="1">
      <c r="A30" s="199"/>
      <c r="B30" s="199"/>
      <c r="C30" s="193" t="s">
        <v>315</v>
      </c>
      <c r="D30" s="200">
        <f t="shared" ref="D30:O30" si="31">D28-D23</f>
        <v>-808434.75369821442</v>
      </c>
      <c r="E30" s="200">
        <f t="shared" si="31"/>
        <v>-762277.3728458574</v>
      </c>
      <c r="F30" s="200">
        <f t="shared" si="31"/>
        <v>-236032.2325837044</v>
      </c>
      <c r="G30" s="200">
        <f t="shared" si="31"/>
        <v>166594.48093399964</v>
      </c>
      <c r="H30" s="200">
        <f t="shared" si="31"/>
        <v>2338198.9574364536</v>
      </c>
      <c r="I30" s="200">
        <f t="shared" si="31"/>
        <v>2888143.0919330493</v>
      </c>
      <c r="J30" s="200">
        <f t="shared" si="31"/>
        <v>3289325.4330729339</v>
      </c>
      <c r="K30" s="200">
        <f t="shared" si="31"/>
        <v>1554894.8805280682</v>
      </c>
      <c r="L30" s="200">
        <f t="shared" si="31"/>
        <v>461255.90597661398</v>
      </c>
      <c r="M30" s="200">
        <f t="shared" si="31"/>
        <v>200311.88712224364</v>
      </c>
      <c r="N30" s="200">
        <f t="shared" si="31"/>
        <v>-696719.53450095281</v>
      </c>
      <c r="O30" s="200">
        <f t="shared" si="31"/>
        <v>-745011.63979210705</v>
      </c>
      <c r="P30" s="172">
        <f>SUM(D30:O30)</f>
        <v>7650249.1035825256</v>
      </c>
      <c r="Q30" s="199"/>
      <c r="R30" s="199"/>
      <c r="S30" s="199"/>
      <c r="T30" s="170" t="s">
        <v>315</v>
      </c>
      <c r="U30" s="66">
        <f>U28-U23</f>
        <v>-1069701.067704991</v>
      </c>
      <c r="V30" s="66">
        <f t="shared" ref="V30:AF30" si="32">V28-V23</f>
        <v>-1075281.6219745283</v>
      </c>
      <c r="W30" s="66">
        <f t="shared" si="32"/>
        <v>-908352.66655914253</v>
      </c>
      <c r="X30" s="66">
        <f t="shared" si="32"/>
        <v>-343345.03458913974</v>
      </c>
      <c r="Y30" s="66">
        <f t="shared" si="32"/>
        <v>333346.9116845727</v>
      </c>
      <c r="Z30" s="66">
        <f t="shared" si="32"/>
        <v>873505.7778435424</v>
      </c>
      <c r="AA30" s="66">
        <f t="shared" si="32"/>
        <v>1089104.8451779485</v>
      </c>
      <c r="AB30" s="66">
        <f t="shared" si="32"/>
        <v>613042.78444460221</v>
      </c>
      <c r="AC30" s="66">
        <f t="shared" si="32"/>
        <v>151948.94843933731</v>
      </c>
      <c r="AD30" s="66">
        <f t="shared" si="32"/>
        <v>-411992.05239057541</v>
      </c>
      <c r="AE30" s="66">
        <f t="shared" si="32"/>
        <v>-863023.65200267173</v>
      </c>
      <c r="AF30" s="66">
        <f t="shared" si="32"/>
        <v>-1102796.7234129687</v>
      </c>
      <c r="AG30" s="199">
        <f>SUM(U30:AF30)</f>
        <v>-2713543.5510440143</v>
      </c>
      <c r="AH30" s="199"/>
      <c r="AI30" s="199"/>
      <c r="AJ30" s="170" t="s">
        <v>315</v>
      </c>
      <c r="AK30" s="66">
        <f>AK28-AK23</f>
        <v>-1165429.9391387012</v>
      </c>
      <c r="AL30" s="66">
        <f t="shared" ref="AL30:AV30" si="33">AL28-AL23</f>
        <v>-1173163.0854997365</v>
      </c>
      <c r="AM30" s="66">
        <f t="shared" si="33"/>
        <v>-1118481.2869985546</v>
      </c>
      <c r="AN30" s="66">
        <f t="shared" si="33"/>
        <v>-793559.56868454721</v>
      </c>
      <c r="AO30" s="66">
        <f t="shared" si="33"/>
        <v>-505349.72755788267</v>
      </c>
      <c r="AP30" s="66">
        <f t="shared" si="33"/>
        <v>-6920.6843511294574</v>
      </c>
      <c r="AQ30" s="66">
        <f t="shared" si="33"/>
        <v>57043.970665236935</v>
      </c>
      <c r="AR30" s="66">
        <f t="shared" si="33"/>
        <v>-221306.58427310362</v>
      </c>
      <c r="AS30" s="66">
        <f t="shared" si="33"/>
        <v>-611721.56985504553</v>
      </c>
      <c r="AT30" s="66">
        <f t="shared" si="33"/>
        <v>-829707.04819103424</v>
      </c>
      <c r="AU30" s="66">
        <f t="shared" si="33"/>
        <v>-1131277.8497295668</v>
      </c>
      <c r="AV30" s="66">
        <f t="shared" si="33"/>
        <v>-1283678.070111135</v>
      </c>
      <c r="AW30" s="199"/>
      <c r="AX30" s="24"/>
    </row>
    <row r="31" spans="1:50" s="37" customFormat="1">
      <c r="A31" s="199"/>
      <c r="B31" s="199"/>
      <c r="C31" s="193" t="s">
        <v>623</v>
      </c>
      <c r="D31" s="200">
        <f t="shared" ref="D31:O31" si="34">D29-D25</f>
        <v>-808434.75369821442</v>
      </c>
      <c r="E31" s="200">
        <f t="shared" si="34"/>
        <v>-1570712.1265440714</v>
      </c>
      <c r="F31" s="200">
        <f t="shared" si="34"/>
        <v>-1806744.3591277748</v>
      </c>
      <c r="G31" s="200">
        <f t="shared" si="34"/>
        <v>-1640149.8781937752</v>
      </c>
      <c r="H31" s="200">
        <f t="shared" si="34"/>
        <v>698049.07924268022</v>
      </c>
      <c r="I31" s="200">
        <f t="shared" si="34"/>
        <v>3586192.1711757258</v>
      </c>
      <c r="J31" s="200">
        <f t="shared" si="34"/>
        <v>6875517.6042486578</v>
      </c>
      <c r="K31" s="200">
        <f t="shared" si="34"/>
        <v>8430412.4847767353</v>
      </c>
      <c r="L31" s="200">
        <f t="shared" si="34"/>
        <v>8891668.3907533586</v>
      </c>
      <c r="M31" s="200">
        <f t="shared" si="34"/>
        <v>9091980.2778756022</v>
      </c>
      <c r="N31" s="200">
        <f t="shared" si="34"/>
        <v>8395260.7433746457</v>
      </c>
      <c r="O31" s="200">
        <f t="shared" si="34"/>
        <v>7650249.1035825312</v>
      </c>
      <c r="P31" s="42"/>
      <c r="Q31" s="199"/>
      <c r="R31" s="199"/>
      <c r="S31" s="199"/>
      <c r="T31" s="170" t="s">
        <v>316</v>
      </c>
      <c r="U31" s="66">
        <f>U29-U25</f>
        <v>-1069701.067704991</v>
      </c>
      <c r="V31" s="66">
        <f t="shared" ref="V31:AF31" si="35">V29-V25</f>
        <v>-2144982.6896795202</v>
      </c>
      <c r="W31" s="66">
        <f t="shared" si="35"/>
        <v>-3053335.3562386632</v>
      </c>
      <c r="X31" s="66">
        <f t="shared" si="35"/>
        <v>-3396680.3908278011</v>
      </c>
      <c r="Y31" s="66">
        <f t="shared" si="35"/>
        <v>-3063333.4791432247</v>
      </c>
      <c r="Z31" s="66">
        <f t="shared" si="35"/>
        <v>-2189827.7012996823</v>
      </c>
      <c r="AA31" s="66">
        <f t="shared" si="35"/>
        <v>-1100722.8561217338</v>
      </c>
      <c r="AB31" s="66">
        <f t="shared" si="35"/>
        <v>-487680.07167713344</v>
      </c>
      <c r="AC31" s="66">
        <f t="shared" si="35"/>
        <v>-335731.12323778868</v>
      </c>
      <c r="AD31" s="66">
        <f t="shared" si="35"/>
        <v>-747723.17562836409</v>
      </c>
      <c r="AE31" s="66">
        <f t="shared" si="35"/>
        <v>-1610746.8276310414</v>
      </c>
      <c r="AF31" s="66">
        <f t="shared" si="35"/>
        <v>-2713543.5510440171</v>
      </c>
      <c r="AG31" s="199"/>
      <c r="AH31" s="199"/>
      <c r="AI31" s="199"/>
      <c r="AJ31" s="170" t="s">
        <v>316</v>
      </c>
      <c r="AK31" s="66">
        <f>AK29-AK25</f>
        <v>-1165429.9391387012</v>
      </c>
      <c r="AL31" s="66">
        <f t="shared" ref="AL31:AV31" si="36">AL29-AL25</f>
        <v>-2338593.0246384377</v>
      </c>
      <c r="AM31" s="66">
        <f t="shared" si="36"/>
        <v>-3457074.3116369918</v>
      </c>
      <c r="AN31" s="66">
        <f t="shared" si="36"/>
        <v>-4250633.8803215399</v>
      </c>
      <c r="AO31" s="66">
        <f t="shared" si="36"/>
        <v>-4755983.6078794226</v>
      </c>
      <c r="AP31" s="66">
        <f t="shared" si="36"/>
        <v>-4762904.2922305539</v>
      </c>
      <c r="AQ31" s="66">
        <f t="shared" si="36"/>
        <v>-4705860.3215653151</v>
      </c>
      <c r="AR31" s="66">
        <f t="shared" si="36"/>
        <v>-4927166.905838415</v>
      </c>
      <c r="AS31" s="66">
        <f t="shared" si="36"/>
        <v>-5538888.4756934643</v>
      </c>
      <c r="AT31" s="66">
        <f t="shared" si="36"/>
        <v>-6368595.523884505</v>
      </c>
      <c r="AU31" s="66">
        <f t="shared" si="36"/>
        <v>-7499873.3736140728</v>
      </c>
      <c r="AV31" s="66">
        <f t="shared" si="36"/>
        <v>-8783551.4437251985</v>
      </c>
      <c r="AW31" s="199"/>
      <c r="AX31" s="24"/>
    </row>
    <row r="32" spans="1:50">
      <c r="A32" s="43"/>
      <c r="B32" s="43"/>
      <c r="C32" s="2"/>
      <c r="D32" s="32"/>
      <c r="E32" s="32"/>
      <c r="F32" s="32"/>
      <c r="G32" s="32"/>
      <c r="H32" s="32"/>
      <c r="I32" s="32"/>
      <c r="J32" s="32"/>
      <c r="K32" s="32"/>
      <c r="L32" s="39"/>
      <c r="M32" s="32"/>
      <c r="N32" s="32"/>
      <c r="O32" s="32"/>
      <c r="P32" s="43"/>
      <c r="Q32" s="43"/>
      <c r="R32" s="43"/>
      <c r="S32" s="43"/>
      <c r="T32" s="2"/>
      <c r="U32" s="32"/>
      <c r="V32" s="32"/>
      <c r="W32" s="32"/>
      <c r="X32" s="32"/>
      <c r="Y32" s="32"/>
      <c r="Z32" s="32"/>
      <c r="AA32" s="32"/>
      <c r="AB32" s="32"/>
      <c r="AC32" s="39"/>
      <c r="AD32" s="32"/>
      <c r="AE32" s="32"/>
      <c r="AF32" s="32"/>
      <c r="AG32" s="43"/>
      <c r="AH32" s="43"/>
      <c r="AI32" s="43"/>
      <c r="AJ32" s="2"/>
      <c r="AK32" s="32"/>
      <c r="AL32" s="32"/>
      <c r="AM32" s="32"/>
      <c r="AN32" s="32"/>
      <c r="AO32" s="32"/>
      <c r="AP32" s="32"/>
      <c r="AQ32" s="32"/>
      <c r="AR32" s="32"/>
      <c r="AS32" s="39"/>
      <c r="AT32" s="32"/>
      <c r="AU32" s="32"/>
      <c r="AV32" s="32"/>
      <c r="AW32" s="43"/>
    </row>
    <row r="33" spans="1:50">
      <c r="A33" s="43"/>
      <c r="B33" s="43"/>
      <c r="C33" s="2" t="s">
        <v>202</v>
      </c>
      <c r="D33" s="32">
        <f t="shared" ref="D33:O33" si="37">D19-D69</f>
        <v>1199357.7591692144</v>
      </c>
      <c r="E33" s="32">
        <f t="shared" si="37"/>
        <v>1273840.9383058576</v>
      </c>
      <c r="F33" s="32">
        <f t="shared" si="37"/>
        <v>910868.70930070442</v>
      </c>
      <c r="G33" s="32">
        <f t="shared" si="37"/>
        <v>1962482.8884300007</v>
      </c>
      <c r="H33" s="32">
        <f t="shared" si="37"/>
        <v>4713123.6157165468</v>
      </c>
      <c r="I33" s="32">
        <f t="shared" si="37"/>
        <v>13208730.497028951</v>
      </c>
      <c r="J33" s="32">
        <f t="shared" si="37"/>
        <v>12704318.107405065</v>
      </c>
      <c r="K33" s="32">
        <f t="shared" si="37"/>
        <v>7473187.1880369326</v>
      </c>
      <c r="L33" s="39">
        <f t="shared" si="37"/>
        <v>6555262.5190033857</v>
      </c>
      <c r="M33" s="32">
        <f t="shared" si="37"/>
        <v>3527826.9913922772</v>
      </c>
      <c r="N33" s="32">
        <f t="shared" si="37"/>
        <v>2067589.9784591955</v>
      </c>
      <c r="O33" s="32">
        <f t="shared" si="37"/>
        <v>1164277.2782298971</v>
      </c>
      <c r="P33" s="43">
        <f>SUM(D33:O33)</f>
        <v>56760866.470478028</v>
      </c>
      <c r="Q33" s="43"/>
      <c r="R33" s="43"/>
      <c r="S33" s="43"/>
      <c r="T33" s="2" t="s">
        <v>202</v>
      </c>
      <c r="U33" s="32">
        <f t="shared" ref="U33:AF33" si="38">U19-U69</f>
        <v>1283322.6831246209</v>
      </c>
      <c r="V33" s="32">
        <f t="shared" si="38"/>
        <v>1288903.237394158</v>
      </c>
      <c r="W33" s="32">
        <f t="shared" si="38"/>
        <v>1421279.9240652199</v>
      </c>
      <c r="X33" s="32">
        <f t="shared" si="38"/>
        <v>3360768.1879387433</v>
      </c>
      <c r="Y33" s="32">
        <f t="shared" si="38"/>
        <v>5783606.7453902951</v>
      </c>
      <c r="Z33" s="32">
        <f t="shared" si="38"/>
        <v>8929271.2041166201</v>
      </c>
      <c r="AA33" s="32">
        <f t="shared" si="38"/>
        <v>10346921.713409975</v>
      </c>
      <c r="AB33" s="32">
        <f t="shared" si="38"/>
        <v>8467467.5437601618</v>
      </c>
      <c r="AC33" s="39">
        <f t="shared" si="38"/>
        <v>6776308.7786559612</v>
      </c>
      <c r="AD33" s="32">
        <f t="shared" si="38"/>
        <v>3890900.5410526688</v>
      </c>
      <c r="AE33" s="32">
        <f t="shared" si="38"/>
        <v>2121924.996464069</v>
      </c>
      <c r="AF33" s="32">
        <f t="shared" si="38"/>
        <v>1262942.0723674495</v>
      </c>
      <c r="AG33" s="43">
        <f>SUM(U33:AF33)</f>
        <v>54933617.627739944</v>
      </c>
      <c r="AH33" s="43"/>
      <c r="AI33" s="43"/>
      <c r="AJ33" s="2" t="s">
        <v>202</v>
      </c>
      <c r="AK33" s="32">
        <f t="shared" ref="AK33:AV33" si="39">AK19-AK69</f>
        <v>1389928.4012393281</v>
      </c>
      <c r="AL33" s="32">
        <f t="shared" si="39"/>
        <v>1397661.5476003641</v>
      </c>
      <c r="AM33" s="32">
        <f t="shared" si="39"/>
        <v>1644695.5558801312</v>
      </c>
      <c r="AN33" s="32">
        <f t="shared" si="39"/>
        <v>3844868.1580190626</v>
      </c>
      <c r="AO33" s="32">
        <f t="shared" si="39"/>
        <v>6680891.7518377332</v>
      </c>
      <c r="AP33" s="32">
        <f t="shared" si="39"/>
        <v>9897065.2898781933</v>
      </c>
      <c r="AQ33" s="32">
        <f t="shared" si="39"/>
        <v>11479132.761102874</v>
      </c>
      <c r="AR33" s="32">
        <f t="shared" si="39"/>
        <v>9383734.7409118935</v>
      </c>
      <c r="AS33" s="39">
        <f t="shared" si="39"/>
        <v>7604849.6331978627</v>
      </c>
      <c r="AT33" s="32">
        <f t="shared" si="39"/>
        <v>4345115.6583263548</v>
      </c>
      <c r="AU33" s="32">
        <f t="shared" si="39"/>
        <v>2409236.8726244653</v>
      </c>
      <c r="AV33" s="32">
        <f t="shared" si="39"/>
        <v>1454349.3997246455</v>
      </c>
      <c r="AW33" s="43">
        <f>SUM(AK33:AV33)</f>
        <v>61531529.770342909</v>
      </c>
    </row>
    <row r="34" spans="1:50">
      <c r="A34" s="34"/>
      <c r="B34" s="34"/>
      <c r="C34" s="2" t="s">
        <v>228</v>
      </c>
      <c r="D34" s="16">
        <f t="shared" ref="D34:P34" si="40">D33/D10</f>
        <v>5.0270506225530909</v>
      </c>
      <c r="E34" s="16">
        <f t="shared" si="40"/>
        <v>4.9998957438896019</v>
      </c>
      <c r="F34" s="17">
        <f t="shared" si="40"/>
        <v>3.2544973177815648</v>
      </c>
      <c r="G34" s="17">
        <f t="shared" si="40"/>
        <v>3.8866973547055705</v>
      </c>
      <c r="H34" s="16">
        <f t="shared" si="40"/>
        <v>3.9856294602734552</v>
      </c>
      <c r="I34" s="17">
        <f t="shared" si="40"/>
        <v>5.1371488024738428</v>
      </c>
      <c r="J34" s="17">
        <f t="shared" si="40"/>
        <v>4.9699160594235385</v>
      </c>
      <c r="K34" s="17">
        <f t="shared" si="40"/>
        <v>4.544450574933049</v>
      </c>
      <c r="L34" s="17">
        <f t="shared" si="40"/>
        <v>4.8966138891864732</v>
      </c>
      <c r="M34" s="16">
        <f t="shared" si="40"/>
        <v>5.5543367538352104</v>
      </c>
      <c r="N34" s="16">
        <f t="shared" si="40"/>
        <v>5.7401197292702424</v>
      </c>
      <c r="O34" s="16">
        <f t="shared" si="40"/>
        <v>4.1871305107258774</v>
      </c>
      <c r="P34" s="34">
        <f t="shared" si="40"/>
        <v>4.7920672194247604</v>
      </c>
      <c r="Q34" s="34"/>
      <c r="R34" s="34"/>
      <c r="S34" s="34"/>
      <c r="T34" s="2" t="s">
        <v>228</v>
      </c>
      <c r="U34" s="16">
        <f t="shared" ref="U34:AG34" si="41">U33/U10</f>
        <v>4.8075051868422358</v>
      </c>
      <c r="V34" s="16">
        <f t="shared" si="41"/>
        <v>4.8284107189808338</v>
      </c>
      <c r="W34" s="16">
        <f t="shared" si="41"/>
        <v>4.5339801521339034</v>
      </c>
      <c r="X34" s="16">
        <f t="shared" si="41"/>
        <v>4.6262158051216469</v>
      </c>
      <c r="Y34" s="16">
        <f t="shared" si="41"/>
        <v>4.7476000403852634</v>
      </c>
      <c r="Z34" s="16">
        <f t="shared" si="41"/>
        <v>4.9756592885401636</v>
      </c>
      <c r="AA34" s="16">
        <f t="shared" si="41"/>
        <v>5.0475755602898502</v>
      </c>
      <c r="AB34" s="16">
        <f t="shared" si="41"/>
        <v>5.0373463850060753</v>
      </c>
      <c r="AC34" s="17">
        <f t="shared" si="41"/>
        <v>5.0370916218080648</v>
      </c>
      <c r="AD34" s="16">
        <f t="shared" si="41"/>
        <v>5.0070937426082782</v>
      </c>
      <c r="AE34" s="16">
        <f t="shared" si="41"/>
        <v>4.9309659632679885</v>
      </c>
      <c r="AF34" s="16">
        <f t="shared" si="41"/>
        <v>4.8888618050176449</v>
      </c>
      <c r="AG34" s="34">
        <f t="shared" si="41"/>
        <v>4.9363183646638031</v>
      </c>
      <c r="AH34" s="34"/>
      <c r="AI34" s="34"/>
      <c r="AJ34" s="2" t="s">
        <v>228</v>
      </c>
      <c r="AK34" s="16">
        <f t="shared" ref="AK34:AW34" si="42">AK33/AK10</f>
        <v>5.1744283833867764</v>
      </c>
      <c r="AL34" s="16">
        <f t="shared" si="42"/>
        <v>5.2032173569682572</v>
      </c>
      <c r="AM34" s="16">
        <f t="shared" si="42"/>
        <v>5.2126993038744889</v>
      </c>
      <c r="AN34" s="16">
        <f t="shared" si="42"/>
        <v>5.2548869976195363</v>
      </c>
      <c r="AO34" s="16">
        <f t="shared" si="42"/>
        <v>5.443876775196439</v>
      </c>
      <c r="AP34" s="16">
        <f t="shared" si="42"/>
        <v>5.4739444520706728</v>
      </c>
      <c r="AQ34" s="16">
        <f t="shared" si="42"/>
        <v>5.558128963022325</v>
      </c>
      <c r="AR34" s="16">
        <f t="shared" si="42"/>
        <v>5.5408965718618877</v>
      </c>
      <c r="AS34" s="17">
        <f t="shared" si="42"/>
        <v>5.6113498684828382</v>
      </c>
      <c r="AT34" s="16">
        <f t="shared" si="42"/>
        <v>5.5514939712333025</v>
      </c>
      <c r="AU34" s="16">
        <f t="shared" si="42"/>
        <v>5.5607391840209131</v>
      </c>
      <c r="AV34" s="16">
        <f t="shared" si="42"/>
        <v>5.5947301794871196</v>
      </c>
      <c r="AW34" s="34">
        <f t="shared" si="42"/>
        <v>5.4891447201595645</v>
      </c>
    </row>
    <row r="35" spans="1:50">
      <c r="A35" s="43"/>
      <c r="B35" s="43"/>
      <c r="C35" s="2" t="s">
        <v>135</v>
      </c>
      <c r="D35" s="32">
        <f t="shared" ref="D35:O35" si="43">D20-D70-D59</f>
        <v>1300783.474529</v>
      </c>
      <c r="E35" s="32">
        <f t="shared" si="43"/>
        <v>1295320.0755400001</v>
      </c>
      <c r="F35" s="32">
        <f t="shared" si="43"/>
        <v>1311370.883283</v>
      </c>
      <c r="G35" s="32">
        <f t="shared" si="43"/>
        <v>1481308.1206359998</v>
      </c>
      <c r="H35" s="32">
        <f t="shared" si="43"/>
        <v>1464543.789847</v>
      </c>
      <c r="I35" s="32">
        <f t="shared" si="43"/>
        <v>1477029.0450380002</v>
      </c>
      <c r="J35" s="32">
        <f t="shared" si="43"/>
        <v>1475595.0515220002</v>
      </c>
      <c r="K35" s="32">
        <f t="shared" si="43"/>
        <v>1454627.0474349996</v>
      </c>
      <c r="L35" s="39">
        <f t="shared" si="43"/>
        <v>1484607.03902</v>
      </c>
      <c r="M35" s="32">
        <f t="shared" si="43"/>
        <v>1314176.75067</v>
      </c>
      <c r="N35" s="32">
        <f t="shared" si="43"/>
        <v>1410332.0133120001</v>
      </c>
      <c r="O35" s="32">
        <f t="shared" si="43"/>
        <v>1405778.742228</v>
      </c>
      <c r="P35" s="43">
        <f>SUM(D35:O35)</f>
        <v>16875472.033059999</v>
      </c>
      <c r="Q35" s="168">
        <f>P35/P53</f>
        <v>0.22917315521125731</v>
      </c>
      <c r="R35" s="43"/>
      <c r="S35" s="43"/>
      <c r="T35" s="2" t="s">
        <v>135</v>
      </c>
      <c r="U35" s="32">
        <f t="shared" ref="U35:AF35" si="44">U20-U70-U59</f>
        <v>1444142.645</v>
      </c>
      <c r="V35" s="32">
        <f t="shared" si="44"/>
        <v>1444142.645</v>
      </c>
      <c r="W35" s="32">
        <f t="shared" si="44"/>
        <v>1444142.645</v>
      </c>
      <c r="X35" s="32">
        <f t="shared" si="44"/>
        <v>1580190.3449999997</v>
      </c>
      <c r="Y35" s="32">
        <f t="shared" si="44"/>
        <v>1628352.7449999999</v>
      </c>
      <c r="Z35" s="32">
        <f t="shared" si="44"/>
        <v>1628352.7449999999</v>
      </c>
      <c r="AA35" s="32">
        <f t="shared" si="44"/>
        <v>1628352.7449999999</v>
      </c>
      <c r="AB35" s="32">
        <f t="shared" si="44"/>
        <v>1628352.7449999999</v>
      </c>
      <c r="AC35" s="39">
        <f t="shared" si="44"/>
        <v>1628352.7449999999</v>
      </c>
      <c r="AD35" s="32">
        <f t="shared" si="44"/>
        <v>1444142.645</v>
      </c>
      <c r="AE35" s="32">
        <f t="shared" si="44"/>
        <v>1444142.645</v>
      </c>
      <c r="AF35" s="32">
        <f t="shared" si="44"/>
        <v>1444142.645</v>
      </c>
      <c r="AG35" s="43">
        <f>SUM(U35:AF35)</f>
        <v>18386809.939999998</v>
      </c>
      <c r="AH35" s="34"/>
      <c r="AI35" s="43"/>
      <c r="AJ35" s="2" t="s">
        <v>135</v>
      </c>
      <c r="AK35" s="32">
        <f t="shared" ref="AK35:AV35" si="45">AK20-AK70-AK59</f>
        <v>1444142.645</v>
      </c>
      <c r="AL35" s="32">
        <f t="shared" si="45"/>
        <v>1444142.645</v>
      </c>
      <c r="AM35" s="32">
        <f t="shared" si="45"/>
        <v>1444142.645</v>
      </c>
      <c r="AN35" s="32">
        <f t="shared" si="45"/>
        <v>1580190.3449999997</v>
      </c>
      <c r="AO35" s="32">
        <f t="shared" si="45"/>
        <v>1628352.7449999999</v>
      </c>
      <c r="AP35" s="32">
        <f t="shared" si="45"/>
        <v>1628352.7449999999</v>
      </c>
      <c r="AQ35" s="32">
        <f t="shared" si="45"/>
        <v>1628352.7449999999</v>
      </c>
      <c r="AR35" s="32">
        <f t="shared" si="45"/>
        <v>1628352.7449999999</v>
      </c>
      <c r="AS35" s="39">
        <f t="shared" si="45"/>
        <v>1628352.7449999999</v>
      </c>
      <c r="AT35" s="32">
        <f t="shared" si="45"/>
        <v>1444142.645</v>
      </c>
      <c r="AU35" s="32">
        <f t="shared" si="45"/>
        <v>1444142.645</v>
      </c>
      <c r="AV35" s="32">
        <f t="shared" si="45"/>
        <v>1444142.645</v>
      </c>
      <c r="AW35" s="43">
        <f>SUM(AK35:AV35)</f>
        <v>18386809.939999998</v>
      </c>
    </row>
    <row r="36" spans="1:50">
      <c r="A36" s="34"/>
      <c r="B36" s="34"/>
      <c r="C36" s="2" t="s">
        <v>229</v>
      </c>
      <c r="D36" s="16">
        <f t="shared" ref="D36:P36" si="46">D35/D8</f>
        <v>7.1747255088173914</v>
      </c>
      <c r="E36" s="16">
        <f t="shared" si="46"/>
        <v>6.6790180378645418</v>
      </c>
      <c r="F36" s="16">
        <f t="shared" si="46"/>
        <v>6.1215509297971265</v>
      </c>
      <c r="G36" s="16">
        <f t="shared" si="46"/>
        <v>3.5989808344594509</v>
      </c>
      <c r="H36" s="16">
        <f t="shared" si="46"/>
        <v>1.4360779954293981</v>
      </c>
      <c r="I36" s="16">
        <f t="shared" si="46"/>
        <v>0.64300147579998135</v>
      </c>
      <c r="J36" s="16">
        <f t="shared" si="46"/>
        <v>0.64674790322189024</v>
      </c>
      <c r="K36" s="16">
        <f t="shared" si="46"/>
        <v>1.0008187127155344</v>
      </c>
      <c r="L36" s="17">
        <f t="shared" si="46"/>
        <v>1.2876571706838473</v>
      </c>
      <c r="M36" s="16">
        <f t="shared" si="46"/>
        <v>2.4866333066223345</v>
      </c>
      <c r="N36" s="16">
        <f t="shared" si="46"/>
        <v>5.1427132084908447</v>
      </c>
      <c r="O36" s="16">
        <f t="shared" si="46"/>
        <v>6.5307660606314002</v>
      </c>
      <c r="P36" s="34">
        <f t="shared" si="46"/>
        <v>1.650590466260522</v>
      </c>
      <c r="Q36" s="34"/>
      <c r="R36" s="34"/>
      <c r="S36" s="34"/>
      <c r="T36" s="2" t="s">
        <v>229</v>
      </c>
      <c r="U36" s="16">
        <f t="shared" ref="U36:AG36" si="47">U35/U8</f>
        <v>7.3938775504653043</v>
      </c>
      <c r="V36" s="16">
        <f t="shared" si="47"/>
        <v>7.3938775504653043</v>
      </c>
      <c r="W36" s="16">
        <f t="shared" si="47"/>
        <v>6.0441527457950803</v>
      </c>
      <c r="X36" s="16">
        <f t="shared" si="47"/>
        <v>2.5850157175452217</v>
      </c>
      <c r="Y36" s="16">
        <f t="shared" si="47"/>
        <v>1.5391791978328477</v>
      </c>
      <c r="Z36" s="16">
        <f t="shared" si="47"/>
        <v>1.0317827598717335</v>
      </c>
      <c r="AA36" s="16">
        <f t="shared" si="47"/>
        <v>0.89999582322175775</v>
      </c>
      <c r="AB36" s="16">
        <f t="shared" si="47"/>
        <v>1.1003908410079473</v>
      </c>
      <c r="AC36" s="17">
        <f t="shared" si="47"/>
        <v>1.3900142831934714</v>
      </c>
      <c r="AD36" s="16">
        <f t="shared" si="47"/>
        <v>2.1927388702421884</v>
      </c>
      <c r="AE36" s="16">
        <f t="shared" si="47"/>
        <v>4.207662330046106</v>
      </c>
      <c r="AF36" s="16">
        <f t="shared" si="47"/>
        <v>7.6403401354808134</v>
      </c>
      <c r="AG36" s="34">
        <f t="shared" si="47"/>
        <v>1.9296918674261685</v>
      </c>
      <c r="AH36" s="34"/>
      <c r="AI36" s="34"/>
      <c r="AJ36" s="2" t="s">
        <v>229</v>
      </c>
      <c r="AK36" s="16">
        <f t="shared" ref="AK36:AW36" si="48">AK35/AK8</f>
        <v>7.3310689501131998</v>
      </c>
      <c r="AL36" s="16">
        <f t="shared" si="48"/>
        <v>7.3310689501131998</v>
      </c>
      <c r="AM36" s="16">
        <f t="shared" si="48"/>
        <v>5.9928813702138051</v>
      </c>
      <c r="AN36" s="16">
        <f t="shared" si="48"/>
        <v>2.5631567985904469</v>
      </c>
      <c r="AO36" s="16">
        <f t="shared" si="48"/>
        <v>1.5261762023961882</v>
      </c>
      <c r="AP36" s="16">
        <f t="shared" si="48"/>
        <v>1.0230694718873194</v>
      </c>
      <c r="AQ36" s="16">
        <f t="shared" si="48"/>
        <v>0.89239626936088956</v>
      </c>
      <c r="AR36" s="16">
        <f t="shared" si="48"/>
        <v>1.0910984497103815</v>
      </c>
      <c r="AS36" s="17">
        <f t="shared" si="48"/>
        <v>1.3782723767197964</v>
      </c>
      <c r="AT36" s="16">
        <f t="shared" si="48"/>
        <v>2.1742011003519326</v>
      </c>
      <c r="AU36" s="16">
        <f t="shared" si="48"/>
        <v>4.1720226267099818</v>
      </c>
      <c r="AV36" s="16">
        <f t="shared" si="48"/>
        <v>7.5754379151169733</v>
      </c>
      <c r="AW36" s="34">
        <f t="shared" si="48"/>
        <v>1.9133829445206034</v>
      </c>
    </row>
    <row r="37" spans="1:50" s="37" customFormat="1">
      <c r="A37" s="197"/>
      <c r="B37" s="197"/>
      <c r="C37" s="170" t="s">
        <v>230</v>
      </c>
      <c r="D37" s="17">
        <f t="shared" ref="D37:P37" si="49">D34+D36</f>
        <v>12.201776131370483</v>
      </c>
      <c r="E37" s="17">
        <f t="shared" si="49"/>
        <v>11.678913781754144</v>
      </c>
      <c r="F37" s="17">
        <f t="shared" si="49"/>
        <v>9.3760482475786908</v>
      </c>
      <c r="G37" s="17">
        <f t="shared" si="49"/>
        <v>7.4856781891650215</v>
      </c>
      <c r="H37" s="17">
        <f t="shared" si="49"/>
        <v>5.4217074557028528</v>
      </c>
      <c r="I37" s="17">
        <f t="shared" si="49"/>
        <v>5.7801502782738243</v>
      </c>
      <c r="J37" s="17">
        <f t="shared" si="49"/>
        <v>5.6166639626454291</v>
      </c>
      <c r="K37" s="17">
        <f t="shared" si="49"/>
        <v>5.5452692876485834</v>
      </c>
      <c r="L37" s="17">
        <f t="shared" si="49"/>
        <v>6.184271059870321</v>
      </c>
      <c r="M37" s="17">
        <f t="shared" si="49"/>
        <v>8.0409700604575445</v>
      </c>
      <c r="N37" s="17">
        <f t="shared" si="49"/>
        <v>10.882832937761087</v>
      </c>
      <c r="O37" s="17">
        <f t="shared" si="49"/>
        <v>10.717896571357278</v>
      </c>
      <c r="P37" s="197">
        <f t="shared" si="49"/>
        <v>6.4426576856852824</v>
      </c>
      <c r="Q37" s="197"/>
      <c r="R37" s="197"/>
      <c r="S37" s="197"/>
      <c r="T37" s="170" t="s">
        <v>230</v>
      </c>
      <c r="U37" s="17">
        <f t="shared" ref="U37:AG37" si="50">U34+U36</f>
        <v>12.20138273730754</v>
      </c>
      <c r="V37" s="17">
        <f t="shared" si="50"/>
        <v>12.222288269446139</v>
      </c>
      <c r="W37" s="17">
        <f t="shared" si="50"/>
        <v>10.578132897928985</v>
      </c>
      <c r="X37" s="17">
        <f t="shared" si="50"/>
        <v>7.2112315226668686</v>
      </c>
      <c r="Y37" s="17">
        <f t="shared" si="50"/>
        <v>6.2867792382181111</v>
      </c>
      <c r="Z37" s="17">
        <f t="shared" si="50"/>
        <v>6.0074420484118969</v>
      </c>
      <c r="AA37" s="17">
        <f t="shared" si="50"/>
        <v>5.9475713835116082</v>
      </c>
      <c r="AB37" s="17">
        <f t="shared" si="50"/>
        <v>6.1377372260140231</v>
      </c>
      <c r="AC37" s="17">
        <f t="shared" si="50"/>
        <v>6.427105905001536</v>
      </c>
      <c r="AD37" s="17">
        <f t="shared" si="50"/>
        <v>7.1998326128504662</v>
      </c>
      <c r="AE37" s="17">
        <f t="shared" si="50"/>
        <v>9.1386282933140954</v>
      </c>
      <c r="AF37" s="17">
        <f t="shared" si="50"/>
        <v>12.529201940498458</v>
      </c>
      <c r="AG37" s="197">
        <f t="shared" si="50"/>
        <v>6.8660102320899714</v>
      </c>
      <c r="AH37" s="197"/>
      <c r="AI37" s="197"/>
      <c r="AJ37" s="170" t="s">
        <v>230</v>
      </c>
      <c r="AK37" s="17">
        <f t="shared" ref="AK37:AW37" si="51">AK34+AK36</f>
        <v>12.505497333499976</v>
      </c>
      <c r="AL37" s="17">
        <f t="shared" si="51"/>
        <v>12.534286307081457</v>
      </c>
      <c r="AM37" s="17">
        <f t="shared" si="51"/>
        <v>11.205580674088294</v>
      </c>
      <c r="AN37" s="17">
        <f t="shared" si="51"/>
        <v>7.8180437962099827</v>
      </c>
      <c r="AO37" s="17">
        <f t="shared" si="51"/>
        <v>6.9700529775926272</v>
      </c>
      <c r="AP37" s="17">
        <f t="shared" si="51"/>
        <v>6.4970139239579918</v>
      </c>
      <c r="AQ37" s="17">
        <f t="shared" si="51"/>
        <v>6.4505252323832147</v>
      </c>
      <c r="AR37" s="17">
        <f t="shared" si="51"/>
        <v>6.6319950215722692</v>
      </c>
      <c r="AS37" s="17">
        <f t="shared" si="51"/>
        <v>6.9896222452026349</v>
      </c>
      <c r="AT37" s="17">
        <f t="shared" si="51"/>
        <v>7.7256950715852355</v>
      </c>
      <c r="AU37" s="17">
        <f t="shared" si="51"/>
        <v>9.7327618107308957</v>
      </c>
      <c r="AV37" s="17">
        <f t="shared" si="51"/>
        <v>13.170168094604094</v>
      </c>
      <c r="AW37" s="197">
        <f t="shared" si="51"/>
        <v>7.4025276646801679</v>
      </c>
      <c r="AX37" s="24"/>
    </row>
    <row r="38" spans="1:50" s="37" customFormat="1">
      <c r="A38" s="197"/>
      <c r="B38" s="197"/>
      <c r="C38" s="2" t="s">
        <v>604</v>
      </c>
      <c r="D38" s="28">
        <f>MCFS!D52-MCFS!D46</f>
        <v>193829.86197752296</v>
      </c>
      <c r="E38" s="28">
        <f>MCFS!E52-MCFS!E46</f>
        <v>193829.86197752296</v>
      </c>
      <c r="F38" s="28">
        <f>MCFS!F52-MCFS!F46</f>
        <v>237121.35062571833</v>
      </c>
      <c r="G38" s="28">
        <f>MCFS!G52-MCFS!G46</f>
        <v>606697.06898601213</v>
      </c>
      <c r="H38" s="28">
        <f>MCFS!H52-MCFS!H46</f>
        <v>1050011.0070913213</v>
      </c>
      <c r="I38" s="28">
        <f>MCFS!I52-MCFS!I46</f>
        <v>1566383.9546101887</v>
      </c>
      <c r="J38" s="28">
        <f>MCFS!J52-MCFS!J46</f>
        <v>1795754.6251704607</v>
      </c>
      <c r="K38" s="28">
        <f>MCFS!K52-MCFS!K46</f>
        <v>1468722.7153589856</v>
      </c>
      <c r="L38" s="28">
        <f>MCFS!L52-MCFS!L46</f>
        <v>1162691.5744241108</v>
      </c>
      <c r="M38" s="28">
        <f>MCFS!M52-MCFS!M46</f>
        <v>653658.48836317169</v>
      </c>
      <c r="N38" s="28">
        <f>MCFS!N52-MCFS!N46</f>
        <v>340627.09113609674</v>
      </c>
      <c r="O38" s="28">
        <f>MCFS!O52-MCFS!O46</f>
        <v>187577.28578469966</v>
      </c>
      <c r="P38" s="59">
        <f>SUM(D38:O38)</f>
        <v>9456904.8855058104</v>
      </c>
      <c r="Q38" s="197"/>
      <c r="R38" s="197"/>
      <c r="S38" s="197"/>
      <c r="T38" s="2" t="s">
        <v>604</v>
      </c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97"/>
      <c r="AH38" s="197"/>
      <c r="AI38" s="197"/>
      <c r="AJ38" s="2" t="s">
        <v>604</v>
      </c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97"/>
      <c r="AX38" s="24"/>
    </row>
    <row r="39" spans="1:50" s="37" customFormat="1">
      <c r="A39" s="197"/>
      <c r="B39" s="197"/>
      <c r="C39" s="2" t="s">
        <v>602</v>
      </c>
      <c r="D39" s="17">
        <f>$P$35/$P$38</f>
        <v>1.7844603744428378</v>
      </c>
      <c r="E39" s="17">
        <f t="shared" ref="E39:P39" si="52">$P$35/$P$38</f>
        <v>1.7844603744428378</v>
      </c>
      <c r="F39" s="17">
        <f t="shared" si="52"/>
        <v>1.7844603744428378</v>
      </c>
      <c r="G39" s="17">
        <f t="shared" si="52"/>
        <v>1.7844603744428378</v>
      </c>
      <c r="H39" s="17">
        <f t="shared" si="52"/>
        <v>1.7844603744428378</v>
      </c>
      <c r="I39" s="17">
        <f t="shared" si="52"/>
        <v>1.7844603744428378</v>
      </c>
      <c r="J39" s="17">
        <f t="shared" si="52"/>
        <v>1.7844603744428378</v>
      </c>
      <c r="K39" s="17">
        <f t="shared" si="52"/>
        <v>1.7844603744428378</v>
      </c>
      <c r="L39" s="17">
        <f t="shared" si="52"/>
        <v>1.7844603744428378</v>
      </c>
      <c r="M39" s="17">
        <f t="shared" si="52"/>
        <v>1.7844603744428378</v>
      </c>
      <c r="N39" s="17">
        <f t="shared" si="52"/>
        <v>1.7844603744428378</v>
      </c>
      <c r="O39" s="17">
        <f t="shared" si="52"/>
        <v>1.7844603744428378</v>
      </c>
      <c r="P39" s="17">
        <f t="shared" si="52"/>
        <v>1.7844603744428378</v>
      </c>
      <c r="Q39" s="197" t="s">
        <v>593</v>
      </c>
      <c r="R39" s="197"/>
      <c r="S39" s="197"/>
      <c r="T39" s="2" t="s">
        <v>371</v>
      </c>
      <c r="U39" s="17">
        <f>$AG$35/$AG$8</f>
        <v>1.9296918674261685</v>
      </c>
      <c r="V39" s="17">
        <f t="shared" ref="V39:AG39" si="53">$AG$35/$AG$8</f>
        <v>1.9296918674261685</v>
      </c>
      <c r="W39" s="17">
        <f t="shared" si="53"/>
        <v>1.9296918674261685</v>
      </c>
      <c r="X39" s="17">
        <f t="shared" si="53"/>
        <v>1.9296918674261685</v>
      </c>
      <c r="Y39" s="17">
        <f t="shared" si="53"/>
        <v>1.9296918674261685</v>
      </c>
      <c r="Z39" s="17">
        <f t="shared" si="53"/>
        <v>1.9296918674261685</v>
      </c>
      <c r="AA39" s="17">
        <f t="shared" si="53"/>
        <v>1.9296918674261685</v>
      </c>
      <c r="AB39" s="17">
        <f t="shared" si="53"/>
        <v>1.9296918674261685</v>
      </c>
      <c r="AC39" s="17">
        <f t="shared" si="53"/>
        <v>1.9296918674261685</v>
      </c>
      <c r="AD39" s="17">
        <f t="shared" si="53"/>
        <v>1.9296918674261685</v>
      </c>
      <c r="AE39" s="17">
        <f t="shared" si="53"/>
        <v>1.9296918674261685</v>
      </c>
      <c r="AF39" s="17">
        <f t="shared" si="53"/>
        <v>1.9296918674261685</v>
      </c>
      <c r="AG39" s="197">
        <f t="shared" si="53"/>
        <v>1.9296918674261685</v>
      </c>
      <c r="AH39" s="197"/>
      <c r="AI39" s="197"/>
      <c r="AJ39" s="2" t="s">
        <v>602</v>
      </c>
      <c r="AK39" s="17">
        <f>$AW$35/$AW$8</f>
        <v>1.9133829445206034</v>
      </c>
      <c r="AL39" s="17">
        <f t="shared" ref="AL39:AW39" si="54">$AW$35/$AW$8</f>
        <v>1.9133829445206034</v>
      </c>
      <c r="AM39" s="17">
        <f t="shared" si="54"/>
        <v>1.9133829445206034</v>
      </c>
      <c r="AN39" s="17">
        <f t="shared" si="54"/>
        <v>1.9133829445206034</v>
      </c>
      <c r="AO39" s="17">
        <f t="shared" si="54"/>
        <v>1.9133829445206034</v>
      </c>
      <c r="AP39" s="17">
        <f t="shared" si="54"/>
        <v>1.9133829445206034</v>
      </c>
      <c r="AQ39" s="17">
        <f t="shared" si="54"/>
        <v>1.9133829445206034</v>
      </c>
      <c r="AR39" s="17">
        <f t="shared" si="54"/>
        <v>1.9133829445206034</v>
      </c>
      <c r="AS39" s="17">
        <f t="shared" si="54"/>
        <v>1.9133829445206034</v>
      </c>
      <c r="AT39" s="17">
        <f t="shared" si="54"/>
        <v>1.9133829445206034</v>
      </c>
      <c r="AU39" s="17">
        <f t="shared" si="54"/>
        <v>1.9133829445206034</v>
      </c>
      <c r="AV39" s="17">
        <f t="shared" si="54"/>
        <v>1.9133829445206034</v>
      </c>
      <c r="AW39" s="197">
        <f t="shared" si="54"/>
        <v>1.9133829445206034</v>
      </c>
      <c r="AX39" s="24"/>
    </row>
    <row r="40" spans="1:50" s="37" customFormat="1">
      <c r="A40" s="197"/>
      <c r="B40" s="197"/>
      <c r="C40" s="2" t="s">
        <v>603</v>
      </c>
      <c r="D40" s="39">
        <f>D38*D39</f>
        <v>345881.70808261418</v>
      </c>
      <c r="E40" s="39">
        <f t="shared" ref="E40:O40" si="55">E38*E39</f>
        <v>345881.70808261418</v>
      </c>
      <c r="F40" s="39">
        <f t="shared" si="55"/>
        <v>423133.65412596078</v>
      </c>
      <c r="G40" s="39">
        <f t="shared" si="55"/>
        <v>1082626.8788961514</v>
      </c>
      <c r="H40" s="39">
        <f t="shared" si="55"/>
        <v>1873703.0348832803</v>
      </c>
      <c r="I40" s="39">
        <f t="shared" si="55"/>
        <v>2795150.0981649505</v>
      </c>
      <c r="J40" s="39">
        <f t="shared" si="55"/>
        <v>3204452.9708391381</v>
      </c>
      <c r="K40" s="39">
        <f t="shared" si="55"/>
        <v>2620877.4866021969</v>
      </c>
      <c r="L40" s="39">
        <f t="shared" si="55"/>
        <v>2074777.0422583814</v>
      </c>
      <c r="M40" s="39">
        <f t="shared" si="55"/>
        <v>1166427.6709022848</v>
      </c>
      <c r="N40" s="39">
        <f t="shared" si="55"/>
        <v>607835.54659409379</v>
      </c>
      <c r="O40" s="39">
        <f t="shared" si="55"/>
        <v>334724.23362833634</v>
      </c>
      <c r="P40" s="199">
        <f>SUM(D40:O40)</f>
        <v>16875472.033060003</v>
      </c>
      <c r="Q40" s="131">
        <v>109000</v>
      </c>
      <c r="R40" s="197"/>
      <c r="S40" s="197"/>
      <c r="T40" s="2" t="s">
        <v>601</v>
      </c>
      <c r="U40" s="39">
        <f>1.48*U8</f>
        <v>289067.69148016191</v>
      </c>
      <c r="V40" s="39">
        <f t="shared" ref="V40:AF40" si="56">1.48*V8</f>
        <v>289067.69148016191</v>
      </c>
      <c r="W40" s="39">
        <f t="shared" si="56"/>
        <v>353619.63942538382</v>
      </c>
      <c r="X40" s="39">
        <f t="shared" si="56"/>
        <v>904706.95970114041</v>
      </c>
      <c r="Y40" s="39">
        <f t="shared" si="56"/>
        <v>1565744.9541893546</v>
      </c>
      <c r="Z40" s="39">
        <f t="shared" si="56"/>
        <v>2335726.2364992364</v>
      </c>
      <c r="AA40" s="39">
        <f t="shared" si="56"/>
        <v>2677748.0521775582</v>
      </c>
      <c r="AB40" s="39">
        <f t="shared" si="56"/>
        <v>2190096.4391820077</v>
      </c>
      <c r="AC40" s="39">
        <f t="shared" si="56"/>
        <v>1733767.8409053911</v>
      </c>
      <c r="AD40" s="39">
        <f t="shared" si="56"/>
        <v>974731.25669721514</v>
      </c>
      <c r="AE40" s="39">
        <f t="shared" si="56"/>
        <v>507961.65351428761</v>
      </c>
      <c r="AF40" s="39">
        <f t="shared" si="56"/>
        <v>279742.92723886645</v>
      </c>
      <c r="AG40" s="43">
        <f>SUM(U40:AF40)</f>
        <v>14101981.342490766</v>
      </c>
      <c r="AH40" s="197"/>
      <c r="AI40" s="197"/>
      <c r="AJ40" s="2" t="s">
        <v>608</v>
      </c>
      <c r="AK40" s="39">
        <f>AK39*AK8</f>
        <v>376916.09848454717</v>
      </c>
      <c r="AL40" s="39">
        <f t="shared" ref="AL40:AV40" si="57">AL39*AL8</f>
        <v>376916.09848454717</v>
      </c>
      <c r="AM40" s="39">
        <f t="shared" si="57"/>
        <v>461080.02740245988</v>
      </c>
      <c r="AN40" s="39">
        <f t="shared" si="57"/>
        <v>1179603.7046511713</v>
      </c>
      <c r="AO40" s="39">
        <f t="shared" si="57"/>
        <v>2041482.7364327463</v>
      </c>
      <c r="AP40" s="39">
        <f t="shared" si="57"/>
        <v>3045406.451429591</v>
      </c>
      <c r="AQ40" s="39">
        <f t="shared" si="57"/>
        <v>3491344.0104110492</v>
      </c>
      <c r="AR40" s="39">
        <f t="shared" si="57"/>
        <v>2855528.1796737234</v>
      </c>
      <c r="AS40" s="39">
        <f t="shared" si="57"/>
        <v>2260556.3476222255</v>
      </c>
      <c r="AT40" s="39">
        <f t="shared" si="57"/>
        <v>1270902.6345127875</v>
      </c>
      <c r="AU40" s="39">
        <f t="shared" si="57"/>
        <v>662316.13623268006</v>
      </c>
      <c r="AV40" s="39">
        <f t="shared" si="57"/>
        <v>364757.51466246502</v>
      </c>
      <c r="AW40" s="43">
        <f>SUM(AK40:AV40)</f>
        <v>18386809.939999994</v>
      </c>
      <c r="AX40" s="24"/>
    </row>
    <row r="41" spans="1:50" s="37" customFormat="1">
      <c r="A41" s="197"/>
      <c r="B41" s="197"/>
      <c r="C41" s="2" t="s">
        <v>605</v>
      </c>
      <c r="D41" s="28">
        <f>+MCFS!D87-MCFS!D79</f>
        <v>181300.8</v>
      </c>
      <c r="E41" s="28">
        <f>+MCFS!E87-MCFS!E79</f>
        <v>193938.7</v>
      </c>
      <c r="F41" s="28">
        <f>+MCFS!F87-MCFS!F79</f>
        <v>214222</v>
      </c>
      <c r="G41" s="28">
        <f>+MCFS!G87-MCFS!G79</f>
        <v>411591</v>
      </c>
      <c r="H41" s="28">
        <f>+MCFS!H87-MCFS!H79</f>
        <v>1019821.9</v>
      </c>
      <c r="I41" s="28">
        <f>+MCFS!I87-MCFS!I79</f>
        <v>2297085</v>
      </c>
      <c r="J41" s="28">
        <f>+MCFS!J87-MCFS!J79</f>
        <v>2281561.4</v>
      </c>
      <c r="K41" s="28">
        <f>+MCFS!K87-MCFS!K79</f>
        <v>1453437.1</v>
      </c>
      <c r="L41" s="28">
        <f>+MCFS!L87-MCFS!L79</f>
        <v>1152952.0999999999</v>
      </c>
      <c r="M41" s="28">
        <f>+MCFS!M87-MCFS!M79</f>
        <v>528496.4</v>
      </c>
      <c r="N41" s="39"/>
      <c r="O41" s="39"/>
      <c r="P41" s="199"/>
      <c r="Q41" s="131"/>
      <c r="R41" s="197"/>
      <c r="S41" s="197"/>
      <c r="T41" s="2" t="s">
        <v>605</v>
      </c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3"/>
      <c r="AH41" s="197"/>
      <c r="AI41" s="197"/>
      <c r="AJ41" s="2" t="s">
        <v>605</v>
      </c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43"/>
      <c r="AX41" s="24"/>
    </row>
    <row r="42" spans="1:50" s="37" customFormat="1">
      <c r="A42" s="197"/>
      <c r="B42" s="197"/>
      <c r="C42" s="2" t="s">
        <v>606</v>
      </c>
      <c r="D42" s="107">
        <f t="shared" ref="D42:M42" si="58">D41-D38</f>
        <v>-12529.061977522972</v>
      </c>
      <c r="E42" s="107">
        <f t="shared" si="58"/>
        <v>108.83802247705171</v>
      </c>
      <c r="F42" s="107">
        <f t="shared" si="58"/>
        <v>-22899.350625718333</v>
      </c>
      <c r="G42" s="107">
        <f t="shared" si="58"/>
        <v>-195106.06898601213</v>
      </c>
      <c r="H42" s="107">
        <f t="shared" si="58"/>
        <v>-30189.107091321261</v>
      </c>
      <c r="I42" s="107">
        <f t="shared" si="58"/>
        <v>730701.04538981128</v>
      </c>
      <c r="J42" s="107">
        <f t="shared" si="58"/>
        <v>485806.77482953924</v>
      </c>
      <c r="K42" s="107">
        <f t="shared" si="58"/>
        <v>-15285.615358985495</v>
      </c>
      <c r="L42" s="107">
        <f t="shared" si="58"/>
        <v>-9739.4744241109584</v>
      </c>
      <c r="M42" s="107">
        <f t="shared" si="58"/>
        <v>-125162.08836317167</v>
      </c>
      <c r="N42" s="39"/>
      <c r="O42" s="39"/>
      <c r="P42" s="199"/>
      <c r="Q42" s="131"/>
      <c r="R42" s="197"/>
      <c r="S42" s="197"/>
      <c r="T42" s="2" t="s">
        <v>606</v>
      </c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43"/>
      <c r="AH42" s="197"/>
      <c r="AI42" s="197"/>
      <c r="AJ42" s="2" t="s">
        <v>606</v>
      </c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43"/>
      <c r="AX42" s="24"/>
    </row>
    <row r="43" spans="1:50" s="37" customFormat="1">
      <c r="A43" s="197"/>
      <c r="B43" s="197"/>
      <c r="C43" s="2" t="s">
        <v>609</v>
      </c>
      <c r="D43" s="66">
        <f t="shared" ref="D43:M43" si="59">D42*D39</f>
        <v>-22357.614627828163</v>
      </c>
      <c r="E43" s="66">
        <f t="shared" si="59"/>
        <v>194.21713834301769</v>
      </c>
      <c r="F43" s="66">
        <f t="shared" si="59"/>
        <v>-40862.983792067171</v>
      </c>
      <c r="G43" s="66">
        <f t="shared" si="59"/>
        <v>-348159.04891884938</v>
      </c>
      <c r="H43" s="66">
        <f t="shared" si="59"/>
        <v>-53871.265344274063</v>
      </c>
      <c r="I43" s="66">
        <f t="shared" si="59"/>
        <v>1303907.0610620757</v>
      </c>
      <c r="J43" s="66">
        <f t="shared" si="59"/>
        <v>866902.93931918696</v>
      </c>
      <c r="K43" s="66">
        <f t="shared" si="59"/>
        <v>-27276.574907084447</v>
      </c>
      <c r="L43" s="66">
        <f t="shared" si="59"/>
        <v>-17379.706177725482</v>
      </c>
      <c r="M43" s="66">
        <f t="shared" si="59"/>
        <v>-223346.78706659286</v>
      </c>
      <c r="N43" s="39"/>
      <c r="O43" s="39"/>
      <c r="P43" s="199"/>
      <c r="Q43" s="131"/>
      <c r="R43" s="197"/>
      <c r="S43" s="197"/>
      <c r="T43" s="2" t="s">
        <v>609</v>
      </c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3"/>
      <c r="AH43" s="197"/>
      <c r="AI43" s="197"/>
      <c r="AJ43" s="2" t="s">
        <v>609</v>
      </c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43"/>
      <c r="AX43" s="24"/>
    </row>
    <row r="44" spans="1:50" s="37" customFormat="1">
      <c r="A44" s="197"/>
      <c r="B44" s="197"/>
      <c r="C44" s="2" t="s">
        <v>610</v>
      </c>
      <c r="D44" s="66">
        <f>D43</f>
        <v>-22357.614627828163</v>
      </c>
      <c r="E44" s="66">
        <f t="shared" ref="E44:M44" si="60">D44+E43</f>
        <v>-22163.397489485145</v>
      </c>
      <c r="F44" s="66">
        <f t="shared" si="60"/>
        <v>-63026.381281552312</v>
      </c>
      <c r="G44" s="66">
        <f t="shared" si="60"/>
        <v>-411185.43020040169</v>
      </c>
      <c r="H44" s="66">
        <f t="shared" si="60"/>
        <v>-465056.69554467575</v>
      </c>
      <c r="I44" s="66">
        <f t="shared" si="60"/>
        <v>838850.36551739997</v>
      </c>
      <c r="J44" s="66">
        <f t="shared" si="60"/>
        <v>1705753.304836587</v>
      </c>
      <c r="K44" s="66">
        <f t="shared" si="60"/>
        <v>1678476.7299295026</v>
      </c>
      <c r="L44" s="66">
        <f t="shared" si="60"/>
        <v>1661097.0237517771</v>
      </c>
      <c r="M44" s="66">
        <f t="shared" si="60"/>
        <v>1437750.2366851843</v>
      </c>
      <c r="N44" s="39"/>
      <c r="O44" s="39"/>
      <c r="P44" s="199"/>
      <c r="Q44" s="131"/>
      <c r="R44" s="197"/>
      <c r="S44" s="197"/>
      <c r="T44" s="2" t="s">
        <v>610</v>
      </c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3"/>
      <c r="AH44" s="197"/>
      <c r="AI44" s="197"/>
      <c r="AJ44" s="2" t="s">
        <v>610</v>
      </c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43"/>
      <c r="AX44" s="24"/>
    </row>
    <row r="45" spans="1:50" s="37" customFormat="1">
      <c r="A45" s="197"/>
      <c r="B45" s="197"/>
      <c r="C45" s="2" t="s">
        <v>372</v>
      </c>
      <c r="D45" s="17">
        <f>D34+D39</f>
        <v>6.8115109969959287</v>
      </c>
      <c r="E45" s="17">
        <f t="shared" ref="E45:P45" si="61">E34+E39</f>
        <v>6.7843561183324397</v>
      </c>
      <c r="F45" s="17">
        <f t="shared" si="61"/>
        <v>5.0389576922244022</v>
      </c>
      <c r="G45" s="17">
        <f t="shared" si="61"/>
        <v>5.6711577291484083</v>
      </c>
      <c r="H45" s="17">
        <f t="shared" si="61"/>
        <v>5.770089834716293</v>
      </c>
      <c r="I45" s="17">
        <f t="shared" si="61"/>
        <v>6.9216091769166805</v>
      </c>
      <c r="J45" s="17">
        <f t="shared" si="61"/>
        <v>6.7543764338663763</v>
      </c>
      <c r="K45" s="17">
        <f t="shared" si="61"/>
        <v>6.3289109493758868</v>
      </c>
      <c r="L45" s="17">
        <f t="shared" si="61"/>
        <v>6.681074263629311</v>
      </c>
      <c r="M45" s="17">
        <f t="shared" si="61"/>
        <v>7.3387971282780482</v>
      </c>
      <c r="N45" s="17">
        <f t="shared" si="61"/>
        <v>7.5245801037130802</v>
      </c>
      <c r="O45" s="17">
        <f t="shared" si="61"/>
        <v>5.9715908851687152</v>
      </c>
      <c r="P45" s="197">
        <f t="shared" si="61"/>
        <v>6.5765275938675982</v>
      </c>
      <c r="Q45" s="197" t="s">
        <v>599</v>
      </c>
      <c r="R45" s="197"/>
      <c r="S45" s="197"/>
      <c r="T45" s="2" t="s">
        <v>372</v>
      </c>
      <c r="U45" s="17">
        <f t="shared" ref="U45:AG45" si="62">U34+U39</f>
        <v>6.7371970542684041</v>
      </c>
      <c r="V45" s="17">
        <f t="shared" si="62"/>
        <v>6.7581025864070021</v>
      </c>
      <c r="W45" s="17">
        <f t="shared" si="62"/>
        <v>6.4636720195600716</v>
      </c>
      <c r="X45" s="17">
        <f t="shared" si="62"/>
        <v>6.5559076725478151</v>
      </c>
      <c r="Y45" s="17">
        <f t="shared" si="62"/>
        <v>6.6772919078114317</v>
      </c>
      <c r="Z45" s="17">
        <f t="shared" si="62"/>
        <v>6.9053511559663319</v>
      </c>
      <c r="AA45" s="17">
        <f t="shared" si="62"/>
        <v>6.9772674277160185</v>
      </c>
      <c r="AB45" s="17">
        <f t="shared" si="62"/>
        <v>6.9670382524322436</v>
      </c>
      <c r="AC45" s="17">
        <f t="shared" si="62"/>
        <v>6.9667834892342331</v>
      </c>
      <c r="AD45" s="17">
        <f t="shared" si="62"/>
        <v>6.9367856100344465</v>
      </c>
      <c r="AE45" s="17">
        <f t="shared" si="62"/>
        <v>6.8606578306941568</v>
      </c>
      <c r="AF45" s="17">
        <f t="shared" si="62"/>
        <v>6.8185536724438132</v>
      </c>
      <c r="AG45" s="197">
        <f t="shared" si="62"/>
        <v>6.8660102320899714</v>
      </c>
      <c r="AH45" s="197"/>
      <c r="AI45" s="197"/>
      <c r="AJ45" s="2" t="s">
        <v>372</v>
      </c>
      <c r="AK45" s="17">
        <f t="shared" ref="AK45:AW45" si="63">AK34+AK39</f>
        <v>7.0878113279073798</v>
      </c>
      <c r="AL45" s="17">
        <f t="shared" si="63"/>
        <v>7.1166003014888606</v>
      </c>
      <c r="AM45" s="17">
        <f t="shared" si="63"/>
        <v>7.1260822483950923</v>
      </c>
      <c r="AN45" s="17">
        <f t="shared" si="63"/>
        <v>7.1682699421401397</v>
      </c>
      <c r="AO45" s="17">
        <f t="shared" si="63"/>
        <v>7.3572597197170424</v>
      </c>
      <c r="AP45" s="17">
        <f t="shared" si="63"/>
        <v>7.3873273965912762</v>
      </c>
      <c r="AQ45" s="17">
        <f t="shared" si="63"/>
        <v>7.4715119075429284</v>
      </c>
      <c r="AR45" s="17">
        <f t="shared" si="63"/>
        <v>7.4542795163824911</v>
      </c>
      <c r="AS45" s="17">
        <f t="shared" si="63"/>
        <v>7.5247328130034417</v>
      </c>
      <c r="AT45" s="17">
        <f t="shared" si="63"/>
        <v>7.4648769157539059</v>
      </c>
      <c r="AU45" s="17">
        <f t="shared" si="63"/>
        <v>7.4741221285415165</v>
      </c>
      <c r="AV45" s="17">
        <f t="shared" si="63"/>
        <v>7.508113124007723</v>
      </c>
      <c r="AW45" s="197">
        <f t="shared" si="63"/>
        <v>7.4025276646801679</v>
      </c>
      <c r="AX45" s="24"/>
    </row>
    <row r="46" spans="1:50">
      <c r="A46" s="43"/>
      <c r="B46" s="43"/>
      <c r="C46" s="2" t="s">
        <v>137</v>
      </c>
      <c r="D46" s="32">
        <f t="shared" ref="D46:O46" si="64">(D33-D51)+D35</f>
        <v>2212191.7740383735</v>
      </c>
      <c r="E46" s="32">
        <f t="shared" si="64"/>
        <v>2264993.3562454823</v>
      </c>
      <c r="F46" s="32">
        <f t="shared" si="64"/>
        <v>2008555.8076928025</v>
      </c>
      <c r="G46" s="32">
        <f t="shared" si="64"/>
        <v>3081037.7715566205</v>
      </c>
      <c r="H46" s="32">
        <f t="shared" si="64"/>
        <v>5529175.9987190496</v>
      </c>
      <c r="I46" s="32">
        <f t="shared" si="64"/>
        <v>13277496.501968628</v>
      </c>
      <c r="J46" s="32">
        <f t="shared" si="64"/>
        <v>12814763.693942852</v>
      </c>
      <c r="K46" s="32">
        <f t="shared" si="64"/>
        <v>8059700.112159024</v>
      </c>
      <c r="L46" s="39">
        <f t="shared" si="64"/>
        <v>7130168.3054467114</v>
      </c>
      <c r="M46" s="32">
        <f t="shared" si="64"/>
        <v>4249623.7294595949</v>
      </c>
      <c r="N46" s="32">
        <f t="shared" si="64"/>
        <v>2984496.133735369</v>
      </c>
      <c r="O46" s="32">
        <f t="shared" si="64"/>
        <v>2307078.6828881968</v>
      </c>
      <c r="P46" s="43">
        <f>SUM(D46:O46)</f>
        <v>65919281.867852695</v>
      </c>
      <c r="Q46" s="43">
        <f>P40/Q40</f>
        <v>154.82084434000004</v>
      </c>
      <c r="R46" s="43"/>
      <c r="S46" s="43"/>
      <c r="T46" s="2" t="s">
        <v>137</v>
      </c>
      <c r="U46" s="32">
        <f t="shared" ref="U46:AF46" si="65">(U33-U51)+U35</f>
        <v>2383125.3653644524</v>
      </c>
      <c r="V46" s="32">
        <f t="shared" si="65"/>
        <v>2387208.5504417964</v>
      </c>
      <c r="W46" s="32">
        <f t="shared" si="65"/>
        <v>2527456.4467293499</v>
      </c>
      <c r="X46" s="32">
        <f t="shared" si="65"/>
        <v>4408142.8017384922</v>
      </c>
      <c r="Y46" s="32">
        <f t="shared" si="65"/>
        <v>6651008.6961772991</v>
      </c>
      <c r="Z46" s="32">
        <f t="shared" si="65"/>
        <v>9480905.4099489078</v>
      </c>
      <c r="AA46" s="32">
        <f t="shared" si="65"/>
        <v>10760876.815800805</v>
      </c>
      <c r="AB46" s="32">
        <f t="shared" si="65"/>
        <v>9082592.1914379485</v>
      </c>
      <c r="AC46" s="39">
        <f t="shared" si="65"/>
        <v>7529128.059584327</v>
      </c>
      <c r="AD46" s="32">
        <f t="shared" si="65"/>
        <v>4741825.601846844</v>
      </c>
      <c r="AE46" s="32">
        <f t="shared" si="65"/>
        <v>3136535.6342731612</v>
      </c>
      <c r="AF46" s="32">
        <f t="shared" si="65"/>
        <v>2368213.2613526518</v>
      </c>
      <c r="AG46" s="43">
        <f>SUM(U46:AF46)</f>
        <v>65457018.834696032</v>
      </c>
      <c r="AH46" s="43"/>
      <c r="AI46" s="43"/>
      <c r="AJ46" s="2" t="s">
        <v>137</v>
      </c>
      <c r="AK46" s="32">
        <f t="shared" ref="AK46:AV46" si="66">(AK33-AK51)+AK35</f>
        <v>2463450.0260650585</v>
      </c>
      <c r="AL46" s="32">
        <f t="shared" si="66"/>
        <v>2469121.1477988344</v>
      </c>
      <c r="AM46" s="32">
        <f t="shared" si="66"/>
        <v>2700279.8676893245</v>
      </c>
      <c r="AN46" s="32">
        <f t="shared" si="66"/>
        <v>4819836.7459813524</v>
      </c>
      <c r="AO46" s="32">
        <f t="shared" si="66"/>
        <v>7436693.6668509571</v>
      </c>
      <c r="AP46" s="32">
        <f t="shared" si="66"/>
        <v>10340872.001452344</v>
      </c>
      <c r="AQ46" s="32">
        <f t="shared" si="66"/>
        <v>11770253.674822578</v>
      </c>
      <c r="AR46" s="32">
        <f t="shared" si="66"/>
        <v>9897573.6800561491</v>
      </c>
      <c r="AS46" s="39">
        <f t="shared" si="66"/>
        <v>8257852.9191568149</v>
      </c>
      <c r="AT46" s="32">
        <f t="shared" si="66"/>
        <v>5131542.6679420816</v>
      </c>
      <c r="AU46" s="32">
        <f t="shared" si="66"/>
        <v>3368988.5319696693</v>
      </c>
      <c r="AV46" s="32">
        <f t="shared" si="66"/>
        <v>2510693.3223334961</v>
      </c>
      <c r="AW46" s="43">
        <f>SUM(AK46:AV46)</f>
        <v>71167158.252118662</v>
      </c>
    </row>
    <row r="47" spans="1:50">
      <c r="A47" s="43"/>
      <c r="B47" s="43"/>
      <c r="C47" s="2" t="s">
        <v>624</v>
      </c>
      <c r="D47" s="32">
        <f>D46</f>
        <v>2212191.7740383735</v>
      </c>
      <c r="E47" s="32">
        <f t="shared" ref="E47:O47" si="67">D47+E46</f>
        <v>4477185.1302838558</v>
      </c>
      <c r="F47" s="32">
        <f t="shared" si="67"/>
        <v>6485740.9379766583</v>
      </c>
      <c r="G47" s="32">
        <f t="shared" si="67"/>
        <v>9566778.7095332779</v>
      </c>
      <c r="H47" s="32">
        <f t="shared" si="67"/>
        <v>15095954.708252328</v>
      </c>
      <c r="I47" s="32">
        <f t="shared" si="67"/>
        <v>28373451.210220955</v>
      </c>
      <c r="J47" s="32">
        <f t="shared" si="67"/>
        <v>41188214.904163808</v>
      </c>
      <c r="K47" s="32">
        <f t="shared" si="67"/>
        <v>49247915.016322829</v>
      </c>
      <c r="L47" s="39">
        <f t="shared" si="67"/>
        <v>56378083.321769543</v>
      </c>
      <c r="M47" s="32">
        <f t="shared" si="67"/>
        <v>60627707.051229134</v>
      </c>
      <c r="N47" s="32">
        <f t="shared" si="67"/>
        <v>63612203.1849645</v>
      </c>
      <c r="O47" s="32">
        <f t="shared" si="67"/>
        <v>65919281.867852695</v>
      </c>
      <c r="P47" s="43"/>
      <c r="Q47" s="43" t="s">
        <v>600</v>
      </c>
      <c r="R47" s="43"/>
      <c r="S47" s="43"/>
      <c r="T47" s="2" t="s">
        <v>145</v>
      </c>
      <c r="U47" s="32">
        <f>U46</f>
        <v>2383125.3653644524</v>
      </c>
      <c r="V47" s="32">
        <f t="shared" ref="V47:AF47" si="68">U47+V46</f>
        <v>4770333.9158062488</v>
      </c>
      <c r="W47" s="32">
        <f t="shared" si="68"/>
        <v>7297790.3625355987</v>
      </c>
      <c r="X47" s="32">
        <f t="shared" si="68"/>
        <v>11705933.164274091</v>
      </c>
      <c r="Y47" s="32">
        <f t="shared" si="68"/>
        <v>18356941.860451389</v>
      </c>
      <c r="Z47" s="32">
        <f t="shared" si="68"/>
        <v>27837847.270400297</v>
      </c>
      <c r="AA47" s="32">
        <f t="shared" si="68"/>
        <v>38598724.086201102</v>
      </c>
      <c r="AB47" s="32">
        <f t="shared" si="68"/>
        <v>47681316.277639046</v>
      </c>
      <c r="AC47" s="39">
        <f t="shared" si="68"/>
        <v>55210444.337223373</v>
      </c>
      <c r="AD47" s="32">
        <f t="shared" si="68"/>
        <v>59952269.939070217</v>
      </c>
      <c r="AE47" s="32">
        <f t="shared" si="68"/>
        <v>63088805.573343381</v>
      </c>
      <c r="AF47" s="32">
        <f t="shared" si="68"/>
        <v>65457018.834696032</v>
      </c>
      <c r="AG47" s="43"/>
      <c r="AH47" s="43"/>
      <c r="AI47" s="43"/>
      <c r="AJ47" s="2" t="s">
        <v>145</v>
      </c>
      <c r="AK47" s="32">
        <f>AK46</f>
        <v>2463450.0260650585</v>
      </c>
      <c r="AL47" s="32">
        <f t="shared" ref="AL47:AV47" si="69">AK47+AL46</f>
        <v>4932571.1738638934</v>
      </c>
      <c r="AM47" s="32">
        <f t="shared" si="69"/>
        <v>7632851.0415532179</v>
      </c>
      <c r="AN47" s="32">
        <f t="shared" si="69"/>
        <v>12452687.78753457</v>
      </c>
      <c r="AO47" s="32">
        <f t="shared" si="69"/>
        <v>19889381.454385526</v>
      </c>
      <c r="AP47" s="32">
        <f t="shared" si="69"/>
        <v>30230253.455837868</v>
      </c>
      <c r="AQ47" s="32">
        <f t="shared" si="69"/>
        <v>42000507.130660444</v>
      </c>
      <c r="AR47" s="32">
        <f t="shared" si="69"/>
        <v>51898080.810716592</v>
      </c>
      <c r="AS47" s="39">
        <f t="shared" si="69"/>
        <v>60155933.729873404</v>
      </c>
      <c r="AT47" s="32">
        <f t="shared" si="69"/>
        <v>65287476.397815488</v>
      </c>
      <c r="AU47" s="32">
        <f t="shared" si="69"/>
        <v>68656464.929785162</v>
      </c>
      <c r="AV47" s="32">
        <f t="shared" si="69"/>
        <v>71167158.252118662</v>
      </c>
      <c r="AW47" s="43"/>
    </row>
    <row r="48" spans="1:50" s="479" customFormat="1">
      <c r="A48" s="474"/>
      <c r="B48" s="474"/>
      <c r="C48" s="475" t="s">
        <v>951</v>
      </c>
      <c r="D48" s="476">
        <f t="shared" ref="D48:O48" si="70">D34-D67</f>
        <v>-0.29483419420083568</v>
      </c>
      <c r="E48" s="476">
        <f t="shared" si="70"/>
        <v>-0.38565399433029413</v>
      </c>
      <c r="F48" s="476">
        <f t="shared" si="70"/>
        <v>-0.876741774714072</v>
      </c>
      <c r="G48" s="476">
        <f t="shared" si="70"/>
        <v>-0.45229042888954307</v>
      </c>
      <c r="H48" s="476">
        <f t="shared" si="70"/>
        <v>0.25536768016874323</v>
      </c>
      <c r="I48" s="476">
        <f t="shared" si="70"/>
        <v>0.31788178676703538</v>
      </c>
      <c r="J48" s="476">
        <f t="shared" si="70"/>
        <v>0.20761239450207292</v>
      </c>
      <c r="K48" s="476">
        <f t="shared" si="70"/>
        <v>-0.32954593466555515</v>
      </c>
      <c r="L48" s="476">
        <f t="shared" si="70"/>
        <v>0.6067709572493003</v>
      </c>
      <c r="M48" s="476">
        <f t="shared" si="70"/>
        <v>0.76522680619123129</v>
      </c>
      <c r="N48" s="476">
        <f t="shared" si="70"/>
        <v>0.79799058441858417</v>
      </c>
      <c r="O48" s="476">
        <f t="shared" si="70"/>
        <v>-0.69803528334043996</v>
      </c>
      <c r="P48" s="474"/>
      <c r="Q48" s="474"/>
      <c r="R48" s="474"/>
      <c r="S48" s="474"/>
      <c r="T48" s="475"/>
      <c r="U48" s="477"/>
      <c r="V48" s="477"/>
      <c r="W48" s="477"/>
      <c r="X48" s="477"/>
      <c r="Y48" s="477"/>
      <c r="Z48" s="477"/>
      <c r="AA48" s="477"/>
      <c r="AB48" s="477"/>
      <c r="AC48" s="477"/>
      <c r="AD48" s="477"/>
      <c r="AE48" s="477"/>
      <c r="AF48" s="477"/>
      <c r="AG48" s="474"/>
      <c r="AH48" s="474"/>
      <c r="AI48" s="474"/>
      <c r="AJ48" s="475"/>
      <c r="AK48" s="477"/>
      <c r="AL48" s="477"/>
      <c r="AM48" s="477"/>
      <c r="AN48" s="477"/>
      <c r="AO48" s="477"/>
      <c r="AP48" s="477"/>
      <c r="AQ48" s="477"/>
      <c r="AR48" s="477"/>
      <c r="AS48" s="477"/>
      <c r="AT48" s="477"/>
      <c r="AU48" s="477"/>
      <c r="AV48" s="477"/>
      <c r="AW48" s="474"/>
      <c r="AX48" s="478"/>
    </row>
    <row r="49" spans="1:50">
      <c r="A49" s="43"/>
      <c r="B49" s="43"/>
      <c r="C49" s="2"/>
      <c r="D49" s="32"/>
      <c r="E49" s="32"/>
      <c r="F49" s="32"/>
      <c r="G49" s="32"/>
      <c r="H49" s="32"/>
      <c r="I49" s="32"/>
      <c r="J49" s="32"/>
      <c r="K49" s="32"/>
      <c r="L49" s="39"/>
      <c r="M49" s="32"/>
      <c r="N49" s="32"/>
      <c r="O49" s="32"/>
      <c r="P49" s="43"/>
      <c r="Q49" s="43"/>
      <c r="R49" s="43"/>
      <c r="S49" s="43"/>
      <c r="T49" s="2"/>
      <c r="U49" s="32"/>
      <c r="V49" s="32"/>
      <c r="W49" s="32"/>
      <c r="X49" s="32"/>
      <c r="Y49" s="32"/>
      <c r="Z49" s="32"/>
      <c r="AA49" s="32"/>
      <c r="AB49" s="32"/>
      <c r="AC49" s="39"/>
      <c r="AD49" s="32"/>
      <c r="AE49" s="32"/>
      <c r="AF49" s="32"/>
      <c r="AG49" s="43"/>
      <c r="AH49" s="43"/>
      <c r="AI49" s="43"/>
      <c r="AJ49" s="2"/>
      <c r="AK49" s="32"/>
      <c r="AL49" s="32"/>
      <c r="AM49" s="32"/>
      <c r="AN49" s="32"/>
      <c r="AO49" s="32"/>
      <c r="AP49" s="32"/>
      <c r="AQ49" s="32"/>
      <c r="AR49" s="32"/>
      <c r="AS49" s="39"/>
      <c r="AT49" s="32"/>
      <c r="AU49" s="32"/>
      <c r="AV49" s="32"/>
      <c r="AW49" s="43"/>
    </row>
    <row r="50" spans="1:50">
      <c r="A50" s="34"/>
      <c r="B50" s="34"/>
      <c r="C50" s="2" t="s">
        <v>368</v>
      </c>
      <c r="D50" s="16">
        <f t="shared" ref="D50:P50" si="71">D34</f>
        <v>5.0270506225530909</v>
      </c>
      <c r="E50" s="16">
        <f t="shared" si="71"/>
        <v>4.9998957438896019</v>
      </c>
      <c r="F50" s="16">
        <f t="shared" si="71"/>
        <v>3.2544973177815648</v>
      </c>
      <c r="G50" s="16">
        <f t="shared" si="71"/>
        <v>3.8866973547055705</v>
      </c>
      <c r="H50" s="16">
        <f t="shared" si="71"/>
        <v>3.9856294602734552</v>
      </c>
      <c r="I50" s="16">
        <f t="shared" si="71"/>
        <v>5.1371488024738428</v>
      </c>
      <c r="J50" s="16">
        <f t="shared" si="71"/>
        <v>4.9699160594235385</v>
      </c>
      <c r="K50" s="16">
        <f t="shared" si="71"/>
        <v>4.544450574933049</v>
      </c>
      <c r="L50" s="17">
        <f t="shared" si="71"/>
        <v>4.8966138891864732</v>
      </c>
      <c r="M50" s="16">
        <f t="shared" si="71"/>
        <v>5.5543367538352104</v>
      </c>
      <c r="N50" s="16">
        <f t="shared" si="71"/>
        <v>5.7401197292702424</v>
      </c>
      <c r="O50" s="16">
        <f t="shared" si="71"/>
        <v>4.1871305107258774</v>
      </c>
      <c r="P50" s="34">
        <f t="shared" si="71"/>
        <v>4.7920672194247604</v>
      </c>
      <c r="Q50" s="34">
        <f>Q46/12</f>
        <v>12.901737028333336</v>
      </c>
      <c r="R50" s="34"/>
      <c r="S50" s="34"/>
      <c r="T50" s="2" t="s">
        <v>368</v>
      </c>
      <c r="U50" s="16">
        <f t="shared" ref="U50:AG50" si="72">U34</f>
        <v>4.8075051868422358</v>
      </c>
      <c r="V50" s="16">
        <f t="shared" si="72"/>
        <v>4.8284107189808338</v>
      </c>
      <c r="W50" s="16">
        <f t="shared" si="72"/>
        <v>4.5339801521339034</v>
      </c>
      <c r="X50" s="16">
        <f t="shared" si="72"/>
        <v>4.6262158051216469</v>
      </c>
      <c r="Y50" s="16">
        <f t="shared" si="72"/>
        <v>4.7476000403852634</v>
      </c>
      <c r="Z50" s="16">
        <f t="shared" si="72"/>
        <v>4.9756592885401636</v>
      </c>
      <c r="AA50" s="16">
        <f t="shared" si="72"/>
        <v>5.0475755602898502</v>
      </c>
      <c r="AB50" s="16">
        <f t="shared" si="72"/>
        <v>5.0373463850060753</v>
      </c>
      <c r="AC50" s="17">
        <f t="shared" si="72"/>
        <v>5.0370916218080648</v>
      </c>
      <c r="AD50" s="16">
        <f t="shared" si="72"/>
        <v>5.0070937426082782</v>
      </c>
      <c r="AE50" s="16">
        <f t="shared" si="72"/>
        <v>4.9309659632679885</v>
      </c>
      <c r="AF50" s="16">
        <f t="shared" si="72"/>
        <v>4.8888618050176449</v>
      </c>
      <c r="AG50" s="34">
        <f t="shared" si="72"/>
        <v>4.9363183646638031</v>
      </c>
      <c r="AH50" s="34"/>
      <c r="AI50" s="34"/>
      <c r="AJ50" s="2" t="s">
        <v>368</v>
      </c>
      <c r="AK50" s="16">
        <f t="shared" ref="AK50:AW50" si="73">AK34</f>
        <v>5.1744283833867764</v>
      </c>
      <c r="AL50" s="16">
        <f t="shared" si="73"/>
        <v>5.2032173569682572</v>
      </c>
      <c r="AM50" s="16">
        <f t="shared" si="73"/>
        <v>5.2126993038744889</v>
      </c>
      <c r="AN50" s="16">
        <f t="shared" si="73"/>
        <v>5.2548869976195363</v>
      </c>
      <c r="AO50" s="16">
        <f t="shared" si="73"/>
        <v>5.443876775196439</v>
      </c>
      <c r="AP50" s="16">
        <f t="shared" si="73"/>
        <v>5.4739444520706728</v>
      </c>
      <c r="AQ50" s="16">
        <f t="shared" si="73"/>
        <v>5.558128963022325</v>
      </c>
      <c r="AR50" s="16">
        <f t="shared" si="73"/>
        <v>5.5408965718618877</v>
      </c>
      <c r="AS50" s="17">
        <f t="shared" si="73"/>
        <v>5.6113498684828382</v>
      </c>
      <c r="AT50" s="16">
        <f t="shared" si="73"/>
        <v>5.5514939712333025</v>
      </c>
      <c r="AU50" s="16">
        <f t="shared" si="73"/>
        <v>5.5607391840209131</v>
      </c>
      <c r="AV50" s="16">
        <f t="shared" si="73"/>
        <v>5.5947301794871196</v>
      </c>
      <c r="AW50" s="34">
        <f t="shared" si="73"/>
        <v>5.4891447201595645</v>
      </c>
    </row>
    <row r="51" spans="1:50">
      <c r="A51" s="43"/>
      <c r="B51" s="43"/>
      <c r="C51" s="2" t="s">
        <v>367</v>
      </c>
      <c r="D51" s="32">
        <f t="shared" ref="D51:O51" si="74">D50*D9</f>
        <v>287949.45965984103</v>
      </c>
      <c r="E51" s="32">
        <f t="shared" si="74"/>
        <v>304167.65760037518</v>
      </c>
      <c r="F51" s="32">
        <f t="shared" si="74"/>
        <v>213683.784890902</v>
      </c>
      <c r="G51" s="32">
        <f t="shared" si="74"/>
        <v>362753.23750938033</v>
      </c>
      <c r="H51" s="32">
        <f t="shared" si="74"/>
        <v>648491.40684449719</v>
      </c>
      <c r="I51" s="32">
        <f t="shared" si="74"/>
        <v>1408263.0400983226</v>
      </c>
      <c r="J51" s="32">
        <f t="shared" si="74"/>
        <v>1365149.4649842118</v>
      </c>
      <c r="K51" s="32">
        <f t="shared" si="74"/>
        <v>868114.12331290799</v>
      </c>
      <c r="L51" s="39">
        <f t="shared" si="74"/>
        <v>909701.25257667468</v>
      </c>
      <c r="M51" s="32">
        <f t="shared" si="74"/>
        <v>592380.01260268211</v>
      </c>
      <c r="N51" s="32">
        <f t="shared" si="74"/>
        <v>493425.85803582636</v>
      </c>
      <c r="O51" s="32">
        <f t="shared" si="74"/>
        <v>262977.3375697005</v>
      </c>
      <c r="P51" s="43">
        <f>SUM(D51:O51)</f>
        <v>7717056.6356853219</v>
      </c>
      <c r="Q51" s="43"/>
      <c r="R51" s="43"/>
      <c r="S51" s="43"/>
      <c r="T51" s="2" t="s">
        <v>367</v>
      </c>
      <c r="U51" s="32">
        <f t="shared" ref="U51:AF51" si="75">U50*U9</f>
        <v>344339.96276016854</v>
      </c>
      <c r="V51" s="32">
        <f t="shared" si="75"/>
        <v>345837.33195236174</v>
      </c>
      <c r="W51" s="32">
        <f t="shared" si="75"/>
        <v>337966.12233586994</v>
      </c>
      <c r="X51" s="32">
        <f t="shared" si="75"/>
        <v>532815.73120025103</v>
      </c>
      <c r="Y51" s="32">
        <f t="shared" si="75"/>
        <v>760950.79421299638</v>
      </c>
      <c r="Z51" s="32">
        <f t="shared" si="75"/>
        <v>1076718.5391677117</v>
      </c>
      <c r="AA51" s="32">
        <f t="shared" si="75"/>
        <v>1214397.6426091697</v>
      </c>
      <c r="AB51" s="32">
        <f t="shared" si="75"/>
        <v>1013228.0973222137</v>
      </c>
      <c r="AC51" s="39">
        <f t="shared" si="75"/>
        <v>875533.46407163411</v>
      </c>
      <c r="AD51" s="32">
        <f t="shared" si="75"/>
        <v>593217.584205825</v>
      </c>
      <c r="AE51" s="32">
        <f t="shared" si="75"/>
        <v>429532.00719090755</v>
      </c>
      <c r="AF51" s="32">
        <f t="shared" si="75"/>
        <v>338871.45601479808</v>
      </c>
      <c r="AG51" s="43">
        <f>SUM(U51:AF51)</f>
        <v>7863408.7330439072</v>
      </c>
      <c r="AH51" s="43"/>
      <c r="AI51" s="43"/>
      <c r="AJ51" s="2" t="s">
        <v>367</v>
      </c>
      <c r="AK51" s="32">
        <f t="shared" ref="AK51:AV51" si="76">AK50*AK9</f>
        <v>370621.02017426956</v>
      </c>
      <c r="AL51" s="32">
        <f t="shared" si="76"/>
        <v>372683.0448015299</v>
      </c>
      <c r="AM51" s="32">
        <f t="shared" si="76"/>
        <v>388558.33319080668</v>
      </c>
      <c r="AN51" s="32">
        <f t="shared" si="76"/>
        <v>605221.75703770958</v>
      </c>
      <c r="AO51" s="32">
        <f t="shared" si="76"/>
        <v>872550.82998677669</v>
      </c>
      <c r="AP51" s="32">
        <f t="shared" si="76"/>
        <v>1184546.0334258496</v>
      </c>
      <c r="AQ51" s="32">
        <f t="shared" si="76"/>
        <v>1337231.8312802955</v>
      </c>
      <c r="AR51" s="32">
        <f t="shared" si="76"/>
        <v>1114513.8058557443</v>
      </c>
      <c r="AS51" s="39">
        <f t="shared" si="76"/>
        <v>975349.45904104738</v>
      </c>
      <c r="AT51" s="32">
        <f t="shared" si="76"/>
        <v>657715.63538427313</v>
      </c>
      <c r="AU51" s="32">
        <f t="shared" si="76"/>
        <v>484390.98565479612</v>
      </c>
      <c r="AV51" s="32">
        <f t="shared" si="76"/>
        <v>387798.72239114967</v>
      </c>
      <c r="AW51" s="43">
        <f>SUM(AK51:AV51)</f>
        <v>8751181.4582242481</v>
      </c>
    </row>
    <row r="52" spans="1:50">
      <c r="A52" s="43"/>
      <c r="B52" s="43"/>
      <c r="C52" s="2" t="s">
        <v>625</v>
      </c>
      <c r="D52" s="32">
        <f>D51</f>
        <v>287949.45965984103</v>
      </c>
      <c r="E52" s="32">
        <f t="shared" ref="E52:O52" si="77">D52+E51</f>
        <v>592117.11726021627</v>
      </c>
      <c r="F52" s="32">
        <f t="shared" si="77"/>
        <v>805800.90215111827</v>
      </c>
      <c r="G52" s="32">
        <f t="shared" si="77"/>
        <v>1168554.1396604986</v>
      </c>
      <c r="H52" s="32">
        <f t="shared" si="77"/>
        <v>1817045.5465049958</v>
      </c>
      <c r="I52" s="32">
        <f t="shared" si="77"/>
        <v>3225308.5866033183</v>
      </c>
      <c r="J52" s="32">
        <f t="shared" si="77"/>
        <v>4590458.0515875304</v>
      </c>
      <c r="K52" s="32">
        <f t="shared" si="77"/>
        <v>5458572.1749004386</v>
      </c>
      <c r="L52" s="39">
        <f t="shared" si="77"/>
        <v>6368273.427477113</v>
      </c>
      <c r="M52" s="32">
        <f t="shared" si="77"/>
        <v>6960653.4400797952</v>
      </c>
      <c r="N52" s="32">
        <f t="shared" si="77"/>
        <v>7454079.2981156213</v>
      </c>
      <c r="O52" s="32">
        <f t="shared" si="77"/>
        <v>7717056.6356853219</v>
      </c>
      <c r="P52" s="43"/>
      <c r="Q52" s="127"/>
      <c r="R52" s="43"/>
      <c r="S52" s="43"/>
      <c r="T52" s="2" t="s">
        <v>369</v>
      </c>
      <c r="U52" s="32">
        <f>U51</f>
        <v>344339.96276016854</v>
      </c>
      <c r="V52" s="32">
        <f t="shared" ref="V52:AF52" si="78">U52+V51</f>
        <v>690177.29471253022</v>
      </c>
      <c r="W52" s="32">
        <f t="shared" si="78"/>
        <v>1028143.4170484002</v>
      </c>
      <c r="X52" s="32">
        <f t="shared" si="78"/>
        <v>1560959.1482486511</v>
      </c>
      <c r="Y52" s="32">
        <f t="shared" si="78"/>
        <v>2321909.9424616476</v>
      </c>
      <c r="Z52" s="32">
        <f t="shared" si="78"/>
        <v>3398628.4816293595</v>
      </c>
      <c r="AA52" s="32">
        <f t="shared" si="78"/>
        <v>4613026.1242385292</v>
      </c>
      <c r="AB52" s="32">
        <f t="shared" si="78"/>
        <v>5626254.2215607427</v>
      </c>
      <c r="AC52" s="39">
        <f t="shared" si="78"/>
        <v>6501787.6856323769</v>
      </c>
      <c r="AD52" s="32">
        <f t="shared" si="78"/>
        <v>7095005.2698382018</v>
      </c>
      <c r="AE52" s="32">
        <f t="shared" si="78"/>
        <v>7524537.2770291092</v>
      </c>
      <c r="AF52" s="32">
        <f t="shared" si="78"/>
        <v>7863408.7330439072</v>
      </c>
      <c r="AG52" s="43"/>
      <c r="AH52" s="43"/>
      <c r="AI52" s="43"/>
      <c r="AJ52" s="2" t="s">
        <v>369</v>
      </c>
      <c r="AK52" s="32">
        <f>AK51</f>
        <v>370621.02017426956</v>
      </c>
      <c r="AL52" s="32">
        <f t="shared" ref="AL52:AV52" si="79">AK52+AL51</f>
        <v>743304.06497579953</v>
      </c>
      <c r="AM52" s="32">
        <f t="shared" si="79"/>
        <v>1131862.3981666062</v>
      </c>
      <c r="AN52" s="32">
        <f t="shared" si="79"/>
        <v>1737084.1552043157</v>
      </c>
      <c r="AO52" s="32">
        <f t="shared" si="79"/>
        <v>2609634.9851910924</v>
      </c>
      <c r="AP52" s="32">
        <f t="shared" si="79"/>
        <v>3794181.0186169418</v>
      </c>
      <c r="AQ52" s="32">
        <f t="shared" si="79"/>
        <v>5131412.8498972375</v>
      </c>
      <c r="AR52" s="32">
        <f t="shared" si="79"/>
        <v>6245926.655752982</v>
      </c>
      <c r="AS52" s="39">
        <f t="shared" si="79"/>
        <v>7221276.1147940289</v>
      </c>
      <c r="AT52" s="32">
        <f t="shared" si="79"/>
        <v>7878991.7501783017</v>
      </c>
      <c r="AU52" s="32">
        <f t="shared" si="79"/>
        <v>8363382.7358330982</v>
      </c>
      <c r="AV52" s="32">
        <f t="shared" si="79"/>
        <v>8751181.4582242481</v>
      </c>
      <c r="AW52" s="43"/>
    </row>
    <row r="53" spans="1:50" s="37" customFormat="1">
      <c r="A53" s="199"/>
      <c r="B53" s="199"/>
      <c r="C53" s="193" t="s">
        <v>209</v>
      </c>
      <c r="D53" s="194">
        <f t="shared" ref="D53:O53" si="80">SUM(D33,D35)</f>
        <v>2500141.2336982144</v>
      </c>
      <c r="E53" s="194">
        <f t="shared" si="80"/>
        <v>2569161.0138458577</v>
      </c>
      <c r="F53" s="194">
        <f t="shared" si="80"/>
        <v>2222239.5925837043</v>
      </c>
      <c r="G53" s="194">
        <f t="shared" si="80"/>
        <v>3443791.0090660006</v>
      </c>
      <c r="H53" s="194">
        <f t="shared" si="80"/>
        <v>6177667.4055635463</v>
      </c>
      <c r="I53" s="194">
        <f t="shared" si="80"/>
        <v>14685759.54206695</v>
      </c>
      <c r="J53" s="194">
        <f t="shared" si="80"/>
        <v>14179913.158927064</v>
      </c>
      <c r="K53" s="194">
        <f t="shared" si="80"/>
        <v>8927814.2354719322</v>
      </c>
      <c r="L53" s="194">
        <f t="shared" si="80"/>
        <v>8039869.5580233857</v>
      </c>
      <c r="M53" s="194">
        <f t="shared" si="80"/>
        <v>4842003.7420622772</v>
      </c>
      <c r="N53" s="194">
        <f t="shared" si="80"/>
        <v>3477921.9917711955</v>
      </c>
      <c r="O53" s="194">
        <f t="shared" si="80"/>
        <v>2570056.0204578973</v>
      </c>
      <c r="P53" s="42">
        <f>SUM(D53:O53)</f>
        <v>73636338.503538013</v>
      </c>
      <c r="Q53" s="199"/>
      <c r="R53" s="140"/>
      <c r="T53" s="170" t="s">
        <v>209</v>
      </c>
      <c r="U53" s="39">
        <f t="shared" ref="U53:AF53" si="81">SUM(U33,U35)</f>
        <v>2727465.328124621</v>
      </c>
      <c r="V53" s="39">
        <f t="shared" si="81"/>
        <v>2733045.8823941583</v>
      </c>
      <c r="W53" s="39">
        <f t="shared" si="81"/>
        <v>2865422.5690652197</v>
      </c>
      <c r="X53" s="39">
        <f t="shared" si="81"/>
        <v>4940958.532938743</v>
      </c>
      <c r="Y53" s="39">
        <f t="shared" si="81"/>
        <v>7411959.4903902952</v>
      </c>
      <c r="Z53" s="39">
        <f t="shared" si="81"/>
        <v>10557623.949116619</v>
      </c>
      <c r="AA53" s="39">
        <f t="shared" si="81"/>
        <v>11975274.458409974</v>
      </c>
      <c r="AB53" s="39">
        <f t="shared" si="81"/>
        <v>10095820.288760161</v>
      </c>
      <c r="AC53" s="39">
        <f t="shared" si="81"/>
        <v>8404661.5236559603</v>
      </c>
      <c r="AD53" s="39">
        <f t="shared" si="81"/>
        <v>5335043.1860526688</v>
      </c>
      <c r="AE53" s="39">
        <f t="shared" si="81"/>
        <v>3566067.641464069</v>
      </c>
      <c r="AF53" s="39">
        <f t="shared" si="81"/>
        <v>2707084.7173674498</v>
      </c>
      <c r="AG53" s="199">
        <f>SUM(U53:AF53)</f>
        <v>73320427.567739949</v>
      </c>
      <c r="AH53" s="199"/>
      <c r="AI53" s="199"/>
      <c r="AJ53" s="170" t="s">
        <v>209</v>
      </c>
      <c r="AK53" s="39">
        <f t="shared" ref="AK53:AV53" si="82">SUM(AK33,AK35)</f>
        <v>2834071.0462393281</v>
      </c>
      <c r="AL53" s="39">
        <f t="shared" si="82"/>
        <v>2841804.1926003639</v>
      </c>
      <c r="AM53" s="39">
        <f t="shared" si="82"/>
        <v>3088838.2008801312</v>
      </c>
      <c r="AN53" s="39">
        <f t="shared" si="82"/>
        <v>5425058.5030190628</v>
      </c>
      <c r="AO53" s="39">
        <f t="shared" si="82"/>
        <v>8309244.4968377333</v>
      </c>
      <c r="AP53" s="39">
        <f t="shared" si="82"/>
        <v>11525418.034878192</v>
      </c>
      <c r="AQ53" s="39">
        <f t="shared" si="82"/>
        <v>13107485.506102873</v>
      </c>
      <c r="AR53" s="39">
        <f t="shared" si="82"/>
        <v>11012087.485911893</v>
      </c>
      <c r="AS53" s="39">
        <f t="shared" si="82"/>
        <v>9233202.3781978618</v>
      </c>
      <c r="AT53" s="39">
        <f t="shared" si="82"/>
        <v>5789258.3033263553</v>
      </c>
      <c r="AU53" s="39">
        <f t="shared" si="82"/>
        <v>3853379.5176244653</v>
      </c>
      <c r="AV53" s="39">
        <f t="shared" si="82"/>
        <v>2898492.0447246456</v>
      </c>
      <c r="AW53" s="199">
        <f>SUM(AK53:AV53)</f>
        <v>79918339.710342899</v>
      </c>
      <c r="AX53" s="24"/>
    </row>
    <row r="54" spans="1:50">
      <c r="A54" s="43"/>
      <c r="B54" s="43"/>
      <c r="C54" s="2" t="s">
        <v>626</v>
      </c>
      <c r="D54" s="32">
        <f>D53</f>
        <v>2500141.2336982144</v>
      </c>
      <c r="E54" s="32">
        <f t="shared" ref="E54:O54" si="83">E53+D54</f>
        <v>5069302.2475440726</v>
      </c>
      <c r="F54" s="32">
        <f t="shared" si="83"/>
        <v>7291541.8401277773</v>
      </c>
      <c r="G54" s="32">
        <f t="shared" si="83"/>
        <v>10735332.849193778</v>
      </c>
      <c r="H54" s="32">
        <f t="shared" si="83"/>
        <v>16913000.254757322</v>
      </c>
      <c r="I54" s="32">
        <f t="shared" si="83"/>
        <v>31598759.796824273</v>
      </c>
      <c r="J54" s="32">
        <f t="shared" si="83"/>
        <v>45778672.955751337</v>
      </c>
      <c r="K54" s="32">
        <f t="shared" si="83"/>
        <v>54706487.191223271</v>
      </c>
      <c r="L54" s="39">
        <f t="shared" si="83"/>
        <v>62746356.749246657</v>
      </c>
      <c r="M54" s="32">
        <f t="shared" si="83"/>
        <v>67588360.491308928</v>
      </c>
      <c r="N54" s="32">
        <f t="shared" si="83"/>
        <v>71066282.483080119</v>
      </c>
      <c r="O54" s="32">
        <f t="shared" si="83"/>
        <v>73636338.503538013</v>
      </c>
      <c r="P54" s="43"/>
      <c r="Q54" s="43"/>
      <c r="R54" s="43"/>
      <c r="S54" s="43"/>
      <c r="T54" s="2" t="s">
        <v>626</v>
      </c>
      <c r="U54" s="32">
        <f>U53</f>
        <v>2727465.328124621</v>
      </c>
      <c r="V54" s="32">
        <f t="shared" ref="V54:AF54" si="84">V53+U54</f>
        <v>5460511.2105187792</v>
      </c>
      <c r="W54" s="32">
        <f t="shared" si="84"/>
        <v>8325933.779583999</v>
      </c>
      <c r="X54" s="32">
        <f t="shared" si="84"/>
        <v>13266892.312522743</v>
      </c>
      <c r="Y54" s="32">
        <f t="shared" si="84"/>
        <v>20678851.80291304</v>
      </c>
      <c r="Z54" s="32">
        <f t="shared" si="84"/>
        <v>31236475.752029657</v>
      </c>
      <c r="AA54" s="32">
        <f t="shared" si="84"/>
        <v>43211750.21043963</v>
      </c>
      <c r="AB54" s="32">
        <f t="shared" si="84"/>
        <v>53307570.499199793</v>
      </c>
      <c r="AC54" s="39">
        <f t="shared" si="84"/>
        <v>61712232.022855751</v>
      </c>
      <c r="AD54" s="32">
        <f t="shared" si="84"/>
        <v>67047275.208908424</v>
      </c>
      <c r="AE54" s="32">
        <f t="shared" si="84"/>
        <v>70613342.850372493</v>
      </c>
      <c r="AF54" s="32">
        <f t="shared" si="84"/>
        <v>73320427.567739949</v>
      </c>
      <c r="AG54" s="43"/>
      <c r="AH54" s="43"/>
      <c r="AI54" s="43"/>
      <c r="AJ54" s="2" t="s">
        <v>626</v>
      </c>
      <c r="AK54" s="32">
        <f>AK53</f>
        <v>2834071.0462393281</v>
      </c>
      <c r="AL54" s="32">
        <f t="shared" ref="AL54:AV54" si="85">AL53+AK54</f>
        <v>5675875.2388396915</v>
      </c>
      <c r="AM54" s="32">
        <f t="shared" si="85"/>
        <v>8764713.4397198223</v>
      </c>
      <c r="AN54" s="32">
        <f t="shared" si="85"/>
        <v>14189771.942738885</v>
      </c>
      <c r="AO54" s="32">
        <f t="shared" si="85"/>
        <v>22499016.439576618</v>
      </c>
      <c r="AP54" s="32">
        <f t="shared" si="85"/>
        <v>34024434.474454813</v>
      </c>
      <c r="AQ54" s="32">
        <f t="shared" si="85"/>
        <v>47131919.980557688</v>
      </c>
      <c r="AR54" s="32">
        <f t="shared" si="85"/>
        <v>58144007.466469578</v>
      </c>
      <c r="AS54" s="39">
        <f t="shared" si="85"/>
        <v>67377209.844667435</v>
      </c>
      <c r="AT54" s="32">
        <f t="shared" si="85"/>
        <v>73166468.147993788</v>
      </c>
      <c r="AU54" s="32">
        <f t="shared" si="85"/>
        <v>77019847.665618256</v>
      </c>
      <c r="AV54" s="32">
        <f t="shared" si="85"/>
        <v>79918339.710342899</v>
      </c>
      <c r="AW54" s="43"/>
    </row>
    <row r="55" spans="1:50">
      <c r="A55" s="43"/>
      <c r="B55" s="13" t="s">
        <v>911</v>
      </c>
      <c r="C55" s="332" t="s">
        <v>917</v>
      </c>
      <c r="D55" s="30">
        <v>122162.88</v>
      </c>
      <c r="E55" s="30">
        <v>203012.88</v>
      </c>
      <c r="F55" s="30">
        <v>81795.27</v>
      </c>
      <c r="G55" s="30">
        <v>6921.17</v>
      </c>
      <c r="H55" s="30">
        <v>43018.03</v>
      </c>
      <c r="I55" s="30">
        <f>-2250000-5538.6</f>
        <v>-2255538.6</v>
      </c>
      <c r="J55" s="30">
        <v>-7279.3</v>
      </c>
      <c r="K55" s="30">
        <v>0</v>
      </c>
      <c r="L55" s="30">
        <v>40000</v>
      </c>
      <c r="M55" s="30">
        <v>155000</v>
      </c>
      <c r="N55" s="30">
        <v>185000</v>
      </c>
      <c r="O55" s="30">
        <v>190000</v>
      </c>
      <c r="P55" s="169">
        <f>SUM(D55:O55)</f>
        <v>-1235907.6700000002</v>
      </c>
      <c r="Q55" s="43"/>
      <c r="R55" s="43"/>
      <c r="S55" s="43"/>
      <c r="T55" s="170" t="s">
        <v>917</v>
      </c>
      <c r="U55" s="32">
        <v>200000</v>
      </c>
      <c r="V55" s="32">
        <v>220000</v>
      </c>
      <c r="W55" s="32">
        <v>100000</v>
      </c>
      <c r="X55" s="32">
        <v>60000</v>
      </c>
      <c r="Y55" s="32">
        <v>30000</v>
      </c>
      <c r="Z55" s="30">
        <v>0</v>
      </c>
      <c r="AA55" s="32">
        <v>0</v>
      </c>
      <c r="AB55" s="32">
        <v>0</v>
      </c>
      <c r="AC55" s="32">
        <v>40000</v>
      </c>
      <c r="AD55" s="32">
        <v>155000</v>
      </c>
      <c r="AE55" s="32">
        <v>185000</v>
      </c>
      <c r="AF55" s="32">
        <v>190000</v>
      </c>
      <c r="AG55" s="169">
        <f>SUM(U55:AF55)</f>
        <v>1180000</v>
      </c>
      <c r="AH55" s="43"/>
      <c r="AI55" s="43"/>
      <c r="AJ55" s="170" t="s">
        <v>917</v>
      </c>
      <c r="AK55" s="32">
        <v>200000</v>
      </c>
      <c r="AL55" s="32">
        <v>220000</v>
      </c>
      <c r="AM55" s="32">
        <v>100000</v>
      </c>
      <c r="AN55" s="32">
        <v>60000</v>
      </c>
      <c r="AO55" s="32">
        <v>30000</v>
      </c>
      <c r="AP55" s="30">
        <v>0</v>
      </c>
      <c r="AQ55" s="32">
        <v>0</v>
      </c>
      <c r="AR55" s="32">
        <v>0</v>
      </c>
      <c r="AS55" s="32">
        <v>40000</v>
      </c>
      <c r="AT55" s="32">
        <v>155000</v>
      </c>
      <c r="AU55" s="32">
        <v>185000</v>
      </c>
      <c r="AV55" s="32">
        <v>190000</v>
      </c>
      <c r="AW55" s="169">
        <f>SUM(AK55:AV55)</f>
        <v>1180000</v>
      </c>
    </row>
    <row r="56" spans="1:50">
      <c r="A56" s="43"/>
      <c r="B56" s="333">
        <v>-1429410</v>
      </c>
      <c r="C56" s="332" t="s">
        <v>916</v>
      </c>
      <c r="D56" s="30">
        <f>D55</f>
        <v>122162.88</v>
      </c>
      <c r="E56" s="30">
        <f>D56+E55</f>
        <v>325175.76</v>
      </c>
      <c r="F56" s="30">
        <f t="shared" ref="F56:O56" si="86">E56+F55</f>
        <v>406971.03</v>
      </c>
      <c r="G56" s="30">
        <f t="shared" si="86"/>
        <v>413892.2</v>
      </c>
      <c r="H56" s="30">
        <f t="shared" si="86"/>
        <v>456910.23</v>
      </c>
      <c r="I56" s="30">
        <f t="shared" si="86"/>
        <v>-1798628.37</v>
      </c>
      <c r="J56" s="30">
        <f t="shared" si="86"/>
        <v>-1805907.6700000002</v>
      </c>
      <c r="K56" s="30">
        <f t="shared" si="86"/>
        <v>-1805907.6700000002</v>
      </c>
      <c r="L56" s="30">
        <f t="shared" si="86"/>
        <v>-1765907.6700000002</v>
      </c>
      <c r="M56" s="30">
        <f t="shared" si="86"/>
        <v>-1610907.6700000002</v>
      </c>
      <c r="N56" s="30">
        <f t="shared" si="86"/>
        <v>-1425907.6700000002</v>
      </c>
      <c r="O56" s="30">
        <f t="shared" si="86"/>
        <v>-1235907.6700000002</v>
      </c>
      <c r="P56" s="43"/>
      <c r="Q56" s="43"/>
      <c r="R56" s="43"/>
      <c r="S56" s="43"/>
      <c r="T56" s="170" t="s">
        <v>916</v>
      </c>
      <c r="U56" s="32">
        <f>U55</f>
        <v>200000</v>
      </c>
      <c r="V56" s="32">
        <f t="shared" ref="V56:AF56" si="87">U56+V55</f>
        <v>420000</v>
      </c>
      <c r="W56" s="32">
        <f t="shared" si="87"/>
        <v>520000</v>
      </c>
      <c r="X56" s="32">
        <f t="shared" si="87"/>
        <v>580000</v>
      </c>
      <c r="Y56" s="32">
        <f t="shared" si="87"/>
        <v>610000</v>
      </c>
      <c r="Z56" s="32">
        <f t="shared" si="87"/>
        <v>610000</v>
      </c>
      <c r="AA56" s="32">
        <f t="shared" si="87"/>
        <v>610000</v>
      </c>
      <c r="AB56" s="32">
        <f t="shared" si="87"/>
        <v>610000</v>
      </c>
      <c r="AC56" s="32">
        <f t="shared" si="87"/>
        <v>650000</v>
      </c>
      <c r="AD56" s="32">
        <f t="shared" si="87"/>
        <v>805000</v>
      </c>
      <c r="AE56" s="32">
        <f t="shared" si="87"/>
        <v>990000</v>
      </c>
      <c r="AF56" s="32">
        <f t="shared" si="87"/>
        <v>1180000</v>
      </c>
      <c r="AG56" s="43"/>
      <c r="AH56" s="43"/>
      <c r="AI56" s="43"/>
      <c r="AJ56" s="170" t="s">
        <v>916</v>
      </c>
      <c r="AK56" s="32">
        <f>AK55</f>
        <v>200000</v>
      </c>
      <c r="AL56" s="32">
        <f t="shared" ref="AL56:AV56" si="88">AK56+AL55</f>
        <v>420000</v>
      </c>
      <c r="AM56" s="32">
        <f t="shared" si="88"/>
        <v>520000</v>
      </c>
      <c r="AN56" s="32">
        <f t="shared" si="88"/>
        <v>580000</v>
      </c>
      <c r="AO56" s="32">
        <f t="shared" si="88"/>
        <v>610000</v>
      </c>
      <c r="AP56" s="32">
        <f t="shared" si="88"/>
        <v>610000</v>
      </c>
      <c r="AQ56" s="32">
        <f t="shared" si="88"/>
        <v>610000</v>
      </c>
      <c r="AR56" s="32">
        <f t="shared" si="88"/>
        <v>610000</v>
      </c>
      <c r="AS56" s="32">
        <f t="shared" si="88"/>
        <v>650000</v>
      </c>
      <c r="AT56" s="32">
        <f t="shared" si="88"/>
        <v>805000</v>
      </c>
      <c r="AU56" s="32">
        <f t="shared" si="88"/>
        <v>990000</v>
      </c>
      <c r="AV56" s="32">
        <f t="shared" si="88"/>
        <v>1180000</v>
      </c>
      <c r="AW56" s="43"/>
    </row>
    <row r="57" spans="1:50">
      <c r="A57" s="43"/>
      <c r="B57" s="43"/>
      <c r="C57" s="193" t="s">
        <v>918</v>
      </c>
      <c r="D57" s="194">
        <f>D53+D55</f>
        <v>2622304.1136982143</v>
      </c>
      <c r="E57" s="194">
        <f t="shared" ref="E57:O57" si="89">E53+E55</f>
        <v>2772173.8938458576</v>
      </c>
      <c r="F57" s="194">
        <f t="shared" si="89"/>
        <v>2304034.8625837043</v>
      </c>
      <c r="G57" s="194">
        <f t="shared" si="89"/>
        <v>3450712.1790660005</v>
      </c>
      <c r="H57" s="194">
        <f t="shared" si="89"/>
        <v>6220685.4355635466</v>
      </c>
      <c r="I57" s="194">
        <f t="shared" si="89"/>
        <v>12430220.942066951</v>
      </c>
      <c r="J57" s="194">
        <f t="shared" si="89"/>
        <v>14172633.858927064</v>
      </c>
      <c r="K57" s="194">
        <f t="shared" si="89"/>
        <v>8927814.2354719322</v>
      </c>
      <c r="L57" s="194">
        <f t="shared" si="89"/>
        <v>8079869.5580233857</v>
      </c>
      <c r="M57" s="194">
        <f t="shared" si="89"/>
        <v>4997003.7420622772</v>
      </c>
      <c r="N57" s="194">
        <f t="shared" si="89"/>
        <v>3662921.9917711955</v>
      </c>
      <c r="O57" s="194">
        <f t="shared" si="89"/>
        <v>2760056.0204578973</v>
      </c>
      <c r="P57" s="42">
        <f>SUM(D57:O57)</f>
        <v>72400430.833538026</v>
      </c>
      <c r="Q57" s="43"/>
      <c r="R57" s="43"/>
      <c r="S57" s="43"/>
      <c r="T57" s="170" t="s">
        <v>918</v>
      </c>
      <c r="U57" s="39">
        <f>U53+U55</f>
        <v>2927465.328124621</v>
      </c>
      <c r="V57" s="39">
        <f t="shared" ref="V57:AF57" si="90">V53+V55</f>
        <v>2953045.8823941583</v>
      </c>
      <c r="W57" s="39">
        <f t="shared" si="90"/>
        <v>2965422.5690652197</v>
      </c>
      <c r="X57" s="39">
        <f t="shared" si="90"/>
        <v>5000958.532938743</v>
      </c>
      <c r="Y57" s="39">
        <f t="shared" si="90"/>
        <v>7441959.4903902952</v>
      </c>
      <c r="Z57" s="39">
        <f t="shared" si="90"/>
        <v>10557623.949116619</v>
      </c>
      <c r="AA57" s="39">
        <f t="shared" si="90"/>
        <v>11975274.458409974</v>
      </c>
      <c r="AB57" s="39">
        <f t="shared" si="90"/>
        <v>10095820.288760161</v>
      </c>
      <c r="AC57" s="39">
        <f t="shared" si="90"/>
        <v>8444661.5236559603</v>
      </c>
      <c r="AD57" s="39">
        <f t="shared" si="90"/>
        <v>5490043.1860526688</v>
      </c>
      <c r="AE57" s="39">
        <f t="shared" si="90"/>
        <v>3751067.641464069</v>
      </c>
      <c r="AF57" s="39">
        <f t="shared" si="90"/>
        <v>2897084.7173674498</v>
      </c>
      <c r="AG57" s="43"/>
      <c r="AH57" s="43"/>
      <c r="AI57" s="43"/>
      <c r="AJ57" s="170" t="s">
        <v>918</v>
      </c>
      <c r="AK57" s="39">
        <f>AK53+AK55</f>
        <v>3034071.0462393281</v>
      </c>
      <c r="AL57" s="39">
        <f t="shared" ref="AL57:AV57" si="91">AL53+AL55</f>
        <v>3061804.1926003639</v>
      </c>
      <c r="AM57" s="39">
        <f t="shared" si="91"/>
        <v>3188838.2008801312</v>
      </c>
      <c r="AN57" s="39">
        <f t="shared" si="91"/>
        <v>5485058.5030190628</v>
      </c>
      <c r="AO57" s="39">
        <f t="shared" si="91"/>
        <v>8339244.4968377333</v>
      </c>
      <c r="AP57" s="39">
        <f t="shared" si="91"/>
        <v>11525418.034878192</v>
      </c>
      <c r="AQ57" s="39">
        <f t="shared" si="91"/>
        <v>13107485.506102873</v>
      </c>
      <c r="AR57" s="39">
        <f t="shared" si="91"/>
        <v>11012087.485911893</v>
      </c>
      <c r="AS57" s="39">
        <f t="shared" si="91"/>
        <v>9273202.3781978618</v>
      </c>
      <c r="AT57" s="39">
        <f t="shared" si="91"/>
        <v>5944258.3033263553</v>
      </c>
      <c r="AU57" s="39">
        <f t="shared" si="91"/>
        <v>4038379.5176244653</v>
      </c>
      <c r="AV57" s="39">
        <f t="shared" si="91"/>
        <v>3088492.0447246456</v>
      </c>
      <c r="AW57" s="43"/>
    </row>
    <row r="58" spans="1:50">
      <c r="A58" s="43"/>
      <c r="B58" s="43"/>
      <c r="C58" s="2" t="s">
        <v>919</v>
      </c>
      <c r="D58" s="32">
        <f>D54+D56</f>
        <v>2622304.1136982143</v>
      </c>
      <c r="E58" s="32">
        <f t="shared" ref="E58:O58" si="92">E54+E56</f>
        <v>5394478.0075440723</v>
      </c>
      <c r="F58" s="32">
        <f t="shared" si="92"/>
        <v>7698512.8701277776</v>
      </c>
      <c r="G58" s="32">
        <f t="shared" si="92"/>
        <v>11149225.049193777</v>
      </c>
      <c r="H58" s="32">
        <f t="shared" si="92"/>
        <v>17369910.484757323</v>
      </c>
      <c r="I58" s="32">
        <f t="shared" si="92"/>
        <v>29800131.426824272</v>
      </c>
      <c r="J58" s="32">
        <f t="shared" si="92"/>
        <v>43972765.285751335</v>
      </c>
      <c r="K58" s="32">
        <f t="shared" si="92"/>
        <v>52900579.521223269</v>
      </c>
      <c r="L58" s="32">
        <f t="shared" si="92"/>
        <v>60980449.079246655</v>
      </c>
      <c r="M58" s="32">
        <f t="shared" si="92"/>
        <v>65977452.821308926</v>
      </c>
      <c r="N58" s="32">
        <f t="shared" si="92"/>
        <v>69640374.813080117</v>
      </c>
      <c r="O58" s="32">
        <f t="shared" si="92"/>
        <v>72400430.833538011</v>
      </c>
      <c r="P58" s="43"/>
      <c r="Q58" s="43"/>
      <c r="R58" s="43"/>
      <c r="S58" s="43"/>
      <c r="T58" s="2" t="s">
        <v>919</v>
      </c>
      <c r="U58" s="32">
        <f>U54+U56</f>
        <v>2927465.328124621</v>
      </c>
      <c r="V58" s="32">
        <f t="shared" ref="V58:AF58" si="93">V54+V56</f>
        <v>5880511.2105187792</v>
      </c>
      <c r="W58" s="32">
        <f t="shared" si="93"/>
        <v>8845933.779583998</v>
      </c>
      <c r="X58" s="32">
        <f t="shared" si="93"/>
        <v>13846892.312522743</v>
      </c>
      <c r="Y58" s="32">
        <f t="shared" si="93"/>
        <v>21288851.80291304</v>
      </c>
      <c r="Z58" s="32">
        <f t="shared" si="93"/>
        <v>31846475.752029657</v>
      </c>
      <c r="AA58" s="32">
        <f t="shared" si="93"/>
        <v>43821750.21043963</v>
      </c>
      <c r="AB58" s="32">
        <f t="shared" si="93"/>
        <v>53917570.499199793</v>
      </c>
      <c r="AC58" s="32">
        <f t="shared" si="93"/>
        <v>62362232.022855751</v>
      </c>
      <c r="AD58" s="32">
        <f t="shared" si="93"/>
        <v>67852275.208908424</v>
      </c>
      <c r="AE58" s="32">
        <f t="shared" si="93"/>
        <v>71603342.850372493</v>
      </c>
      <c r="AF58" s="32">
        <f t="shared" si="93"/>
        <v>74500427.567739949</v>
      </c>
      <c r="AG58" s="43"/>
      <c r="AH58" s="43"/>
      <c r="AI58" s="43"/>
      <c r="AJ58" s="170" t="s">
        <v>919</v>
      </c>
      <c r="AK58" s="39">
        <f>AK54+AK56</f>
        <v>3034071.0462393281</v>
      </c>
      <c r="AL58" s="39">
        <f t="shared" ref="AL58:AV58" si="94">AL54+AL56</f>
        <v>6095875.2388396915</v>
      </c>
      <c r="AM58" s="39">
        <f t="shared" si="94"/>
        <v>9284713.4397198223</v>
      </c>
      <c r="AN58" s="39">
        <f t="shared" si="94"/>
        <v>14769771.942738885</v>
      </c>
      <c r="AO58" s="39">
        <f t="shared" si="94"/>
        <v>23109016.439576618</v>
      </c>
      <c r="AP58" s="39">
        <f t="shared" si="94"/>
        <v>34634434.474454813</v>
      </c>
      <c r="AQ58" s="39">
        <f t="shared" si="94"/>
        <v>47741919.980557688</v>
      </c>
      <c r="AR58" s="39">
        <f t="shared" si="94"/>
        <v>58754007.466469578</v>
      </c>
      <c r="AS58" s="39">
        <f t="shared" si="94"/>
        <v>68027209.844667435</v>
      </c>
      <c r="AT58" s="39">
        <f t="shared" si="94"/>
        <v>73971468.147993788</v>
      </c>
      <c r="AU58" s="39">
        <f t="shared" si="94"/>
        <v>78009847.665618256</v>
      </c>
      <c r="AV58" s="39">
        <f t="shared" si="94"/>
        <v>81098339.710342899</v>
      </c>
      <c r="AW58" s="43"/>
    </row>
    <row r="59" spans="1:50">
      <c r="A59" s="43"/>
      <c r="B59" s="43"/>
      <c r="C59" s="8" t="s">
        <v>129</v>
      </c>
      <c r="D59" s="188">
        <v>144745.95000000001</v>
      </c>
      <c r="E59" s="188">
        <v>146931.97</v>
      </c>
      <c r="F59" s="188">
        <v>145897.42000000001</v>
      </c>
      <c r="G59" s="188">
        <v>148492</v>
      </c>
      <c r="H59" s="188">
        <v>153609.14000000001</v>
      </c>
      <c r="I59" s="188">
        <v>153320.93</v>
      </c>
      <c r="J59" s="188">
        <v>155375.47</v>
      </c>
      <c r="K59" s="188">
        <v>152223.26999999999</v>
      </c>
      <c r="L59" s="188">
        <v>157507.97</v>
      </c>
      <c r="M59" s="437">
        <v>141085.23000000001</v>
      </c>
      <c r="N59" s="437">
        <v>151683.96</v>
      </c>
      <c r="O59" s="437">
        <v>157954.9</v>
      </c>
      <c r="P59" s="43">
        <f>SUM(D59:O59)</f>
        <v>1808828.21</v>
      </c>
      <c r="Q59" s="34"/>
      <c r="R59" s="43"/>
      <c r="S59" s="43"/>
      <c r="T59" s="170" t="s">
        <v>129</v>
      </c>
      <c r="U59" s="39">
        <v>150000</v>
      </c>
      <c r="V59" s="39">
        <v>150000</v>
      </c>
      <c r="W59" s="39">
        <v>150000</v>
      </c>
      <c r="X59" s="39">
        <v>150000</v>
      </c>
      <c r="Y59" s="39">
        <v>150000</v>
      </c>
      <c r="Z59" s="39">
        <v>150000</v>
      </c>
      <c r="AA59" s="39">
        <v>150000</v>
      </c>
      <c r="AB59" s="39">
        <v>150000</v>
      </c>
      <c r="AC59" s="39">
        <v>150000</v>
      </c>
      <c r="AD59" s="39">
        <v>150000</v>
      </c>
      <c r="AE59" s="39">
        <v>150000</v>
      </c>
      <c r="AF59" s="39">
        <v>150000</v>
      </c>
      <c r="AG59" s="43">
        <f>SUM(U59:AF59)</f>
        <v>1800000</v>
      </c>
      <c r="AH59" s="43"/>
      <c r="AI59" s="43"/>
      <c r="AJ59" s="2" t="s">
        <v>129</v>
      </c>
      <c r="AK59" s="32">
        <v>150000</v>
      </c>
      <c r="AL59" s="32">
        <v>150000</v>
      </c>
      <c r="AM59" s="32">
        <v>150000</v>
      </c>
      <c r="AN59" s="32">
        <v>150000</v>
      </c>
      <c r="AO59" s="32">
        <v>150000</v>
      </c>
      <c r="AP59" s="32">
        <v>150000</v>
      </c>
      <c r="AQ59" s="32">
        <v>150000</v>
      </c>
      <c r="AR59" s="32">
        <v>150000</v>
      </c>
      <c r="AS59" s="32">
        <v>150000</v>
      </c>
      <c r="AT59" s="32">
        <v>150000</v>
      </c>
      <c r="AU59" s="32">
        <v>150000</v>
      </c>
      <c r="AV59" s="32">
        <v>150000</v>
      </c>
      <c r="AW59" s="43">
        <f>SUM(AK59:AV59)</f>
        <v>1800000</v>
      </c>
    </row>
    <row r="60" spans="1:50" s="37" customFormat="1">
      <c r="A60" s="199"/>
      <c r="B60" s="199"/>
      <c r="C60" s="193" t="s">
        <v>213</v>
      </c>
      <c r="D60" s="194">
        <f t="shared" ref="D60:O60" si="95">D53+D59</f>
        <v>2644887.1836982146</v>
      </c>
      <c r="E60" s="194">
        <f t="shared" si="95"/>
        <v>2716092.9838458579</v>
      </c>
      <c r="F60" s="194">
        <f t="shared" si="95"/>
        <v>2368137.0125837042</v>
      </c>
      <c r="G60" s="194">
        <f t="shared" si="95"/>
        <v>3592283.0090660006</v>
      </c>
      <c r="H60" s="194">
        <f t="shared" si="95"/>
        <v>6331276.545563546</v>
      </c>
      <c r="I60" s="194">
        <f t="shared" si="95"/>
        <v>14839080.47206695</v>
      </c>
      <c r="J60" s="194">
        <f t="shared" si="95"/>
        <v>14335288.628927065</v>
      </c>
      <c r="K60" s="194">
        <f t="shared" si="95"/>
        <v>9080037.5054719318</v>
      </c>
      <c r="L60" s="194">
        <f t="shared" si="95"/>
        <v>8197377.5280233854</v>
      </c>
      <c r="M60" s="194">
        <f t="shared" si="95"/>
        <v>4983088.9720622776</v>
      </c>
      <c r="N60" s="194">
        <f t="shared" si="95"/>
        <v>3629605.9517711955</v>
      </c>
      <c r="O60" s="194">
        <f t="shared" si="95"/>
        <v>2728010.9204578972</v>
      </c>
      <c r="P60" s="42">
        <f>SUM(D60:O60)</f>
        <v>75445166.713538036</v>
      </c>
      <c r="Q60" s="199"/>
      <c r="R60" s="199"/>
      <c r="S60" s="199"/>
      <c r="T60" s="170" t="s">
        <v>213</v>
      </c>
      <c r="U60" s="39">
        <f t="shared" ref="U60:AF60" si="96">U53+U59</f>
        <v>2877465.328124621</v>
      </c>
      <c r="V60" s="39">
        <f t="shared" si="96"/>
        <v>2883045.8823941583</v>
      </c>
      <c r="W60" s="39">
        <f t="shared" si="96"/>
        <v>3015422.5690652197</v>
      </c>
      <c r="X60" s="39">
        <f t="shared" si="96"/>
        <v>5090958.532938743</v>
      </c>
      <c r="Y60" s="39">
        <f t="shared" si="96"/>
        <v>7561959.4903902952</v>
      </c>
      <c r="Z60" s="39">
        <f t="shared" si="96"/>
        <v>10707623.949116619</v>
      </c>
      <c r="AA60" s="39">
        <f t="shared" si="96"/>
        <v>12125274.458409974</v>
      </c>
      <c r="AB60" s="39">
        <f t="shared" si="96"/>
        <v>10245820.288760161</v>
      </c>
      <c r="AC60" s="39">
        <f t="shared" si="96"/>
        <v>8554661.5236559603</v>
      </c>
      <c r="AD60" s="39">
        <f t="shared" si="96"/>
        <v>5485043.1860526688</v>
      </c>
      <c r="AE60" s="39">
        <f t="shared" si="96"/>
        <v>3716067.641464069</v>
      </c>
      <c r="AF60" s="39">
        <f t="shared" si="96"/>
        <v>2857084.7173674498</v>
      </c>
      <c r="AG60" s="39">
        <f>SUM(U60:AF60)</f>
        <v>75120427.567739949</v>
      </c>
      <c r="AH60" s="199"/>
      <c r="AI60" s="199"/>
      <c r="AJ60" s="170" t="s">
        <v>213</v>
      </c>
      <c r="AK60" s="39">
        <f t="shared" ref="AK60:AV60" si="97">AK53+AK59</f>
        <v>2984071.0462393281</v>
      </c>
      <c r="AL60" s="39">
        <f t="shared" si="97"/>
        <v>2991804.1926003639</v>
      </c>
      <c r="AM60" s="39">
        <f t="shared" si="97"/>
        <v>3238838.2008801312</v>
      </c>
      <c r="AN60" s="39">
        <f t="shared" si="97"/>
        <v>5575058.5030190628</v>
      </c>
      <c r="AO60" s="39">
        <f t="shared" si="97"/>
        <v>8459244.4968377333</v>
      </c>
      <c r="AP60" s="39">
        <f t="shared" si="97"/>
        <v>11675418.034878192</v>
      </c>
      <c r="AQ60" s="39">
        <f t="shared" si="97"/>
        <v>13257485.506102873</v>
      </c>
      <c r="AR60" s="39">
        <f t="shared" si="97"/>
        <v>11162087.485911893</v>
      </c>
      <c r="AS60" s="39">
        <f t="shared" si="97"/>
        <v>9383202.3781978618</v>
      </c>
      <c r="AT60" s="39">
        <f t="shared" si="97"/>
        <v>5939258.3033263553</v>
      </c>
      <c r="AU60" s="39">
        <f t="shared" si="97"/>
        <v>4003379.5176244653</v>
      </c>
      <c r="AV60" s="39">
        <f t="shared" si="97"/>
        <v>3048492.0447246456</v>
      </c>
      <c r="AW60" s="39">
        <f>SUM(AK60:AV60)</f>
        <v>81718339.710342899</v>
      </c>
      <c r="AX60" s="24"/>
    </row>
    <row r="61" spans="1:50">
      <c r="A61" s="43"/>
      <c r="B61" s="43"/>
      <c r="C61" s="2" t="s">
        <v>627</v>
      </c>
      <c r="D61" s="32">
        <f>D60</f>
        <v>2644887.1836982146</v>
      </c>
      <c r="E61" s="32">
        <f t="shared" ref="E61:O61" si="98">D61+E60</f>
        <v>5360980.1675440725</v>
      </c>
      <c r="F61" s="32">
        <f t="shared" si="98"/>
        <v>7729117.1801277772</v>
      </c>
      <c r="G61" s="32">
        <f t="shared" si="98"/>
        <v>11321400.189193778</v>
      </c>
      <c r="H61" s="32">
        <f t="shared" si="98"/>
        <v>17652676.734757323</v>
      </c>
      <c r="I61" s="32">
        <f t="shared" si="98"/>
        <v>32491757.206824273</v>
      </c>
      <c r="J61" s="32">
        <f t="shared" si="98"/>
        <v>46827045.83575134</v>
      </c>
      <c r="K61" s="32">
        <f t="shared" si="98"/>
        <v>55907083.34122327</v>
      </c>
      <c r="L61" s="39">
        <f t="shared" si="98"/>
        <v>64104460.869246654</v>
      </c>
      <c r="M61" s="32">
        <f t="shared" si="98"/>
        <v>69087549.841308936</v>
      </c>
      <c r="N61" s="32">
        <f t="shared" si="98"/>
        <v>72717155.793080136</v>
      </c>
      <c r="O61" s="32">
        <f t="shared" si="98"/>
        <v>75445166.713538036</v>
      </c>
      <c r="P61" s="43"/>
      <c r="Q61" s="43"/>
      <c r="R61" s="43"/>
      <c r="S61" s="43"/>
      <c r="T61" s="2" t="s">
        <v>627</v>
      </c>
      <c r="U61" s="32">
        <f>U60</f>
        <v>2877465.328124621</v>
      </c>
      <c r="V61" s="32">
        <f t="shared" ref="V61:AF61" si="99">U61+V60</f>
        <v>5760511.2105187792</v>
      </c>
      <c r="W61" s="32">
        <f t="shared" si="99"/>
        <v>8775933.779583998</v>
      </c>
      <c r="X61" s="32">
        <f t="shared" si="99"/>
        <v>13866892.312522741</v>
      </c>
      <c r="Y61" s="32">
        <f t="shared" si="99"/>
        <v>21428851.802913036</v>
      </c>
      <c r="Z61" s="32">
        <f t="shared" si="99"/>
        <v>32136475.752029657</v>
      </c>
      <c r="AA61" s="32">
        <f t="shared" si="99"/>
        <v>44261750.21043963</v>
      </c>
      <c r="AB61" s="32">
        <f t="shared" si="99"/>
        <v>54507570.499199793</v>
      </c>
      <c r="AC61" s="39">
        <f t="shared" si="99"/>
        <v>63062232.022855751</v>
      </c>
      <c r="AD61" s="32">
        <f t="shared" si="99"/>
        <v>68547275.208908424</v>
      </c>
      <c r="AE61" s="32">
        <f t="shared" si="99"/>
        <v>72263342.850372493</v>
      </c>
      <c r="AF61" s="32">
        <f t="shared" si="99"/>
        <v>75120427.567739949</v>
      </c>
      <c r="AG61" s="43"/>
      <c r="AH61" s="43"/>
      <c r="AI61" s="43"/>
      <c r="AJ61" s="2" t="s">
        <v>214</v>
      </c>
      <c r="AK61" s="32">
        <f>AK60</f>
        <v>2984071.0462393281</v>
      </c>
      <c r="AL61" s="32">
        <f t="shared" ref="AL61:AV61" si="100">AK61+AL60</f>
        <v>5975875.2388396915</v>
      </c>
      <c r="AM61" s="32">
        <f t="shared" si="100"/>
        <v>9214713.4397198223</v>
      </c>
      <c r="AN61" s="32">
        <f t="shared" si="100"/>
        <v>14789771.942738885</v>
      </c>
      <c r="AO61" s="32">
        <f t="shared" si="100"/>
        <v>23249016.439576618</v>
      </c>
      <c r="AP61" s="32">
        <f t="shared" si="100"/>
        <v>34924434.474454813</v>
      </c>
      <c r="AQ61" s="32">
        <f t="shared" si="100"/>
        <v>48181919.980557688</v>
      </c>
      <c r="AR61" s="32">
        <f t="shared" si="100"/>
        <v>59344007.466469578</v>
      </c>
      <c r="AS61" s="39">
        <f t="shared" si="100"/>
        <v>68727209.844667435</v>
      </c>
      <c r="AT61" s="32">
        <f t="shared" si="100"/>
        <v>74666468.147993788</v>
      </c>
      <c r="AU61" s="32">
        <f t="shared" si="100"/>
        <v>78669847.665618256</v>
      </c>
      <c r="AV61" s="32">
        <f t="shared" si="100"/>
        <v>81718339.710342899</v>
      </c>
      <c r="AW61" s="43"/>
    </row>
    <row r="62" spans="1:50">
      <c r="A62" s="43"/>
      <c r="B62" s="43"/>
      <c r="C62" s="2"/>
      <c r="D62" s="16"/>
      <c r="E62" s="16"/>
      <c r="F62" s="16"/>
      <c r="G62" s="16"/>
      <c r="H62" s="16"/>
      <c r="I62" s="16"/>
      <c r="J62" s="16"/>
      <c r="K62" s="16"/>
      <c r="L62" s="16"/>
      <c r="M62" s="32"/>
      <c r="N62" s="32"/>
      <c r="O62" s="32"/>
      <c r="P62" s="43"/>
      <c r="Q62" s="43"/>
      <c r="R62" s="43"/>
      <c r="S62" s="43"/>
      <c r="T62" s="2"/>
      <c r="U62" s="32"/>
      <c r="V62" s="32"/>
      <c r="W62" s="32"/>
      <c r="X62" s="32"/>
      <c r="Y62" s="32"/>
      <c r="Z62" s="32"/>
      <c r="AA62" s="32"/>
      <c r="AB62" s="32"/>
      <c r="AC62" s="39"/>
      <c r="AD62" s="32"/>
      <c r="AE62" s="32"/>
      <c r="AF62" s="32"/>
      <c r="AG62" s="43"/>
      <c r="AH62" s="43"/>
      <c r="AI62" s="43"/>
      <c r="AJ62" s="2"/>
      <c r="AK62" s="32"/>
      <c r="AL62" s="32"/>
      <c r="AM62" s="32"/>
      <c r="AN62" s="32"/>
      <c r="AO62" s="32"/>
      <c r="AP62" s="32"/>
      <c r="AQ62" s="32"/>
      <c r="AR62" s="32"/>
      <c r="AS62" s="39"/>
      <c r="AT62" s="32"/>
      <c r="AU62" s="32"/>
      <c r="AV62" s="32"/>
      <c r="AW62" s="43"/>
    </row>
    <row r="63" spans="1:50">
      <c r="A63" s="22"/>
      <c r="B63" s="22"/>
      <c r="C63" s="6" t="s">
        <v>72</v>
      </c>
      <c r="D63" s="28">
        <f>+'NON-PGC HEDGE '!B22</f>
        <v>0</v>
      </c>
      <c r="E63" s="28">
        <f>+'NON-PGC HEDGE '!C22</f>
        <v>0</v>
      </c>
      <c r="F63" s="28">
        <f>+'NON-PGC HEDGE '!D22</f>
        <v>0</v>
      </c>
      <c r="G63" s="28">
        <f>+'NON-PGC HEDGE '!E22</f>
        <v>0</v>
      </c>
      <c r="H63" s="28">
        <f>+'NON-PGC HEDGE '!F28</f>
        <v>121500</v>
      </c>
      <c r="I63" s="28">
        <f>+'NON-PGC HEDGE '!G28</f>
        <v>153450</v>
      </c>
      <c r="J63" s="28">
        <f>+'NON-PGC HEDGE '!H28</f>
        <v>153450</v>
      </c>
      <c r="K63" s="28">
        <f>+'NON-PGC HEDGE '!I28</f>
        <v>138600</v>
      </c>
      <c r="L63" s="28">
        <f>+'NON-PGC HEDGE '!J28</f>
        <v>125550</v>
      </c>
      <c r="M63" s="22">
        <v>0</v>
      </c>
      <c r="N63" s="22">
        <v>0</v>
      </c>
      <c r="O63" s="22">
        <v>0</v>
      </c>
      <c r="P63" s="59">
        <f>SUM(D63:O63)</f>
        <v>692550</v>
      </c>
      <c r="Q63" s="22"/>
      <c r="R63" s="22"/>
      <c r="S63" s="22"/>
      <c r="T63" s="6" t="s">
        <v>72</v>
      </c>
      <c r="U63" s="28">
        <v>0</v>
      </c>
      <c r="V63" s="28">
        <v>0</v>
      </c>
      <c r="W63" s="28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8">
        <v>0</v>
      </c>
      <c r="AD63" s="22">
        <v>0</v>
      </c>
      <c r="AE63" s="22">
        <v>0</v>
      </c>
      <c r="AF63" s="22">
        <v>0</v>
      </c>
      <c r="AG63" s="22">
        <f>SUM(U63:AF63)</f>
        <v>0</v>
      </c>
      <c r="AH63" s="22"/>
      <c r="AI63" s="22"/>
      <c r="AJ63" s="6" t="s">
        <v>72</v>
      </c>
      <c r="AK63" s="28">
        <v>0</v>
      </c>
      <c r="AL63" s="28">
        <v>0</v>
      </c>
      <c r="AM63" s="28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8">
        <v>0</v>
      </c>
      <c r="AT63" s="22">
        <v>0</v>
      </c>
      <c r="AU63" s="22">
        <v>0</v>
      </c>
      <c r="AV63" s="22">
        <v>0</v>
      </c>
      <c r="AW63" s="22">
        <f>SUM(AK63:AV63)</f>
        <v>0</v>
      </c>
    </row>
    <row r="64" spans="1:50">
      <c r="C64" s="6" t="s">
        <v>108</v>
      </c>
      <c r="D64" s="16">
        <f>+'NON-PGC HEDGE '!B30</f>
        <v>0</v>
      </c>
      <c r="E64" s="16">
        <f>+'NON-PGC HEDGE '!C30</f>
        <v>0</v>
      </c>
      <c r="F64" s="16">
        <f>+'NON-PGC HEDGE '!D30</f>
        <v>0</v>
      </c>
      <c r="G64" s="16">
        <f>+'NON-PGC HEDGE '!E30</f>
        <v>0</v>
      </c>
      <c r="H64" s="16">
        <v>4.72</v>
      </c>
      <c r="I64" s="16">
        <v>4.72</v>
      </c>
      <c r="J64" s="16">
        <v>4.72</v>
      </c>
      <c r="K64" s="16">
        <v>4.72</v>
      </c>
      <c r="L64" s="16">
        <v>4.72</v>
      </c>
      <c r="M64" s="16"/>
      <c r="N64" s="16"/>
      <c r="O64" s="16"/>
      <c r="T64" s="6" t="s">
        <v>108</v>
      </c>
      <c r="U64" s="16"/>
      <c r="V64" s="16"/>
      <c r="W64" s="16"/>
      <c r="X64" s="16"/>
      <c r="Y64" s="16"/>
      <c r="Z64" s="16"/>
      <c r="AA64" s="16"/>
      <c r="AB64" s="16"/>
      <c r="AC64" s="17"/>
      <c r="AD64" s="16"/>
      <c r="AE64" s="16"/>
      <c r="AF64" s="16"/>
      <c r="AJ64" s="6" t="s">
        <v>108</v>
      </c>
      <c r="AK64" s="16"/>
      <c r="AL64" s="16"/>
      <c r="AM64" s="16"/>
      <c r="AN64" s="16"/>
      <c r="AO64" s="16"/>
      <c r="AP64" s="16"/>
      <c r="AQ64" s="16"/>
      <c r="AR64" s="16"/>
      <c r="AS64" s="17"/>
      <c r="AT64" s="16"/>
      <c r="AU64" s="16"/>
      <c r="AV64" s="16"/>
    </row>
    <row r="65" spans="1:50">
      <c r="A65" s="32"/>
      <c r="B65" s="32"/>
      <c r="C65" s="6" t="s">
        <v>73</v>
      </c>
      <c r="D65" s="32">
        <f t="shared" ref="D65:O65" si="101">D63*D64</f>
        <v>0</v>
      </c>
      <c r="E65" s="32">
        <f t="shared" si="101"/>
        <v>0</v>
      </c>
      <c r="F65" s="32">
        <f t="shared" si="101"/>
        <v>0</v>
      </c>
      <c r="G65" s="32">
        <f t="shared" si="101"/>
        <v>0</v>
      </c>
      <c r="H65" s="32">
        <f t="shared" si="101"/>
        <v>573480</v>
      </c>
      <c r="I65" s="32">
        <f t="shared" si="101"/>
        <v>724284</v>
      </c>
      <c r="J65" s="32">
        <f t="shared" si="101"/>
        <v>724284</v>
      </c>
      <c r="K65" s="32">
        <f t="shared" si="101"/>
        <v>654192</v>
      </c>
      <c r="L65" s="39">
        <f t="shared" si="101"/>
        <v>592596</v>
      </c>
      <c r="M65" s="32">
        <f t="shared" si="101"/>
        <v>0</v>
      </c>
      <c r="N65" s="32">
        <f t="shared" si="101"/>
        <v>0</v>
      </c>
      <c r="O65" s="32">
        <f t="shared" si="101"/>
        <v>0</v>
      </c>
      <c r="P65" s="43">
        <f>SUM(D65:O65)</f>
        <v>3268836</v>
      </c>
      <c r="Q65" s="32"/>
      <c r="R65" s="32"/>
      <c r="S65" s="32"/>
      <c r="T65" s="6" t="s">
        <v>73</v>
      </c>
      <c r="U65" s="32">
        <f t="shared" ref="U65:AF65" si="102">U63*U64</f>
        <v>0</v>
      </c>
      <c r="V65" s="32">
        <f t="shared" si="102"/>
        <v>0</v>
      </c>
      <c r="W65" s="32">
        <f t="shared" si="102"/>
        <v>0</v>
      </c>
      <c r="X65" s="32">
        <f t="shared" si="102"/>
        <v>0</v>
      </c>
      <c r="Y65" s="32">
        <f t="shared" si="102"/>
        <v>0</v>
      </c>
      <c r="Z65" s="32">
        <f t="shared" si="102"/>
        <v>0</v>
      </c>
      <c r="AA65" s="32">
        <f t="shared" si="102"/>
        <v>0</v>
      </c>
      <c r="AB65" s="32">
        <f t="shared" si="102"/>
        <v>0</v>
      </c>
      <c r="AC65" s="39">
        <f t="shared" si="102"/>
        <v>0</v>
      </c>
      <c r="AD65" s="32">
        <f t="shared" si="102"/>
        <v>0</v>
      </c>
      <c r="AE65" s="32">
        <f t="shared" si="102"/>
        <v>0</v>
      </c>
      <c r="AF65" s="32">
        <f t="shared" si="102"/>
        <v>0</v>
      </c>
      <c r="AG65" s="32">
        <f>SUM(U65:AF65)</f>
        <v>0</v>
      </c>
      <c r="AH65" s="32"/>
      <c r="AI65" s="32"/>
      <c r="AJ65" s="6" t="s">
        <v>73</v>
      </c>
      <c r="AK65" s="32">
        <f t="shared" ref="AK65:AV65" si="103">AK63*AK64</f>
        <v>0</v>
      </c>
      <c r="AL65" s="32">
        <f t="shared" si="103"/>
        <v>0</v>
      </c>
      <c r="AM65" s="32">
        <f t="shared" si="103"/>
        <v>0</v>
      </c>
      <c r="AN65" s="32">
        <f t="shared" si="103"/>
        <v>0</v>
      </c>
      <c r="AO65" s="32">
        <f t="shared" si="103"/>
        <v>0</v>
      </c>
      <c r="AP65" s="32">
        <f t="shared" si="103"/>
        <v>0</v>
      </c>
      <c r="AQ65" s="32">
        <f t="shared" si="103"/>
        <v>0</v>
      </c>
      <c r="AR65" s="32">
        <f t="shared" si="103"/>
        <v>0</v>
      </c>
      <c r="AS65" s="39">
        <f t="shared" si="103"/>
        <v>0</v>
      </c>
      <c r="AT65" s="32">
        <f t="shared" si="103"/>
        <v>0</v>
      </c>
      <c r="AU65" s="32">
        <f t="shared" si="103"/>
        <v>0</v>
      </c>
      <c r="AV65" s="32">
        <f t="shared" si="103"/>
        <v>0</v>
      </c>
      <c r="AW65" s="32">
        <f>SUM(AK65:AV65)</f>
        <v>0</v>
      </c>
    </row>
    <row r="66" spans="1:50">
      <c r="A66" s="22"/>
      <c r="B66" s="22"/>
      <c r="C66" s="7" t="s">
        <v>74</v>
      </c>
      <c r="D66" s="22">
        <f t="shared" ref="D66:O66" si="104">D11-D63</f>
        <v>221336</v>
      </c>
      <c r="E66" s="22">
        <f t="shared" si="104"/>
        <v>228946.3</v>
      </c>
      <c r="F66" s="22">
        <f t="shared" si="104"/>
        <v>247884</v>
      </c>
      <c r="G66" s="28">
        <f t="shared" si="104"/>
        <v>272765</v>
      </c>
      <c r="H66" s="22">
        <f t="shared" si="104"/>
        <v>207673.8</v>
      </c>
      <c r="I66" s="22">
        <f t="shared" si="104"/>
        <v>266086.59999999998</v>
      </c>
      <c r="J66" s="22">
        <f t="shared" si="104"/>
        <v>291297</v>
      </c>
      <c r="K66" s="22">
        <f t="shared" si="104"/>
        <v>213834.3</v>
      </c>
      <c r="L66" s="28">
        <f t="shared" si="104"/>
        <v>193541.19999999995</v>
      </c>
      <c r="M66" s="22">
        <f t="shared" si="104"/>
        <v>329104</v>
      </c>
      <c r="N66" s="22">
        <f t="shared" si="104"/>
        <v>241060.59999999998</v>
      </c>
      <c r="O66" s="22">
        <f t="shared" si="104"/>
        <v>221191</v>
      </c>
      <c r="P66" s="59">
        <f>SUM(D66:O66)</f>
        <v>2934719.8000000003</v>
      </c>
      <c r="Q66" s="22"/>
      <c r="R66" s="22"/>
      <c r="S66" s="22"/>
      <c r="T66" s="7" t="s">
        <v>74</v>
      </c>
      <c r="U66" s="22">
        <f t="shared" ref="U66:AF66" si="105">U11-U63</f>
        <v>222200</v>
      </c>
      <c r="V66" s="22">
        <f t="shared" si="105"/>
        <v>212000</v>
      </c>
      <c r="W66" s="22">
        <f t="shared" si="105"/>
        <v>192400</v>
      </c>
      <c r="X66" s="22">
        <f t="shared" si="105"/>
        <v>308200</v>
      </c>
      <c r="Y66" s="22">
        <f t="shared" si="105"/>
        <v>314600</v>
      </c>
      <c r="Z66" s="22">
        <f t="shared" si="105"/>
        <v>381100</v>
      </c>
      <c r="AA66" s="22">
        <f t="shared" si="105"/>
        <v>393500</v>
      </c>
      <c r="AB66" s="22">
        <f t="shared" si="105"/>
        <v>348800</v>
      </c>
      <c r="AC66" s="28">
        <f t="shared" si="105"/>
        <v>315800</v>
      </c>
      <c r="AD66" s="22">
        <f t="shared" si="105"/>
        <v>299000</v>
      </c>
      <c r="AE66" s="22">
        <f t="shared" si="105"/>
        <v>244700</v>
      </c>
      <c r="AF66" s="22">
        <f t="shared" si="105"/>
        <v>212800</v>
      </c>
      <c r="AG66" s="22">
        <f>SUM(U66:AF66)</f>
        <v>3445100</v>
      </c>
      <c r="AH66" s="22"/>
      <c r="AI66" s="22"/>
      <c r="AJ66" s="7" t="s">
        <v>74</v>
      </c>
      <c r="AK66" s="22">
        <f t="shared" ref="AK66:AV66" si="106">AK11-AK63</f>
        <v>227250</v>
      </c>
      <c r="AL66" s="22">
        <f t="shared" si="106"/>
        <v>217050</v>
      </c>
      <c r="AM66" s="22">
        <f t="shared" si="106"/>
        <v>197500</v>
      </c>
      <c r="AN66" s="22">
        <f t="shared" si="106"/>
        <v>314400</v>
      </c>
      <c r="AO66" s="22">
        <f t="shared" si="106"/>
        <v>325000</v>
      </c>
      <c r="AP66" s="22">
        <f t="shared" si="106"/>
        <v>390700</v>
      </c>
      <c r="AQ66" s="22">
        <f t="shared" si="106"/>
        <v>403200</v>
      </c>
      <c r="AR66" s="22">
        <f t="shared" si="106"/>
        <v>354300</v>
      </c>
      <c r="AS66" s="28">
        <f t="shared" si="106"/>
        <v>323300</v>
      </c>
      <c r="AT66" s="22">
        <f t="shared" si="106"/>
        <v>306300</v>
      </c>
      <c r="AU66" s="22">
        <f t="shared" si="106"/>
        <v>249800</v>
      </c>
      <c r="AV66" s="22">
        <f t="shared" si="106"/>
        <v>217900</v>
      </c>
      <c r="AW66" s="22">
        <f>SUM(AK66:AV66)</f>
        <v>3526700</v>
      </c>
    </row>
    <row r="67" spans="1:50" s="99" customFormat="1">
      <c r="A67" s="16"/>
      <c r="B67" s="16"/>
      <c r="C67" s="218" t="s">
        <v>109</v>
      </c>
      <c r="D67" s="409">
        <f>+'FT GAS'!G123</f>
        <v>5.3218848167539266</v>
      </c>
      <c r="E67" s="409">
        <f>+'FT GAS'!H123</f>
        <v>5.385549738219896</v>
      </c>
      <c r="F67" s="409">
        <f>+'FT GAS'!I123</f>
        <v>4.1312390924956368</v>
      </c>
      <c r="G67" s="409">
        <f>+'FT GAS'!J123</f>
        <v>4.3389877835951136</v>
      </c>
      <c r="H67" s="409">
        <f>+'FT GAS'!K123</f>
        <v>3.730261780104712</v>
      </c>
      <c r="I67" s="409">
        <f>+'FT GAS'!L123</f>
        <v>4.8192670157068074</v>
      </c>
      <c r="J67" s="409">
        <f>+'FT GAS'!M123</f>
        <v>4.7623036649214656</v>
      </c>
      <c r="K67" s="409">
        <f>+'FT GAS'!N123</f>
        <v>4.8739965095986042</v>
      </c>
      <c r="L67" s="436">
        <f>+'FT GAS'!O123</f>
        <v>4.2898429319371729</v>
      </c>
      <c r="M67" s="436">
        <f>+'FT GAS'!P123</f>
        <v>4.7891099476439791</v>
      </c>
      <c r="N67" s="436">
        <f>+'FT GAS'!Q123</f>
        <v>4.9421291448516582</v>
      </c>
      <c r="O67" s="436">
        <f>+'FT GAS'!R123</f>
        <v>4.8851657940663173</v>
      </c>
      <c r="P67" s="34">
        <f>P68/P66</f>
        <v>4.6966305904473575</v>
      </c>
      <c r="Q67" s="16"/>
      <c r="R67" s="16"/>
      <c r="S67" s="16"/>
      <c r="T67" s="7" t="s">
        <v>109</v>
      </c>
      <c r="U67" s="118">
        <f>+'FT GAS'!X123</f>
        <v>4.919790575916231</v>
      </c>
      <c r="V67" s="118">
        <f>+'FT GAS'!Y123</f>
        <v>4.9343106457242589</v>
      </c>
      <c r="W67" s="118">
        <f>+'FT GAS'!Z123</f>
        <v>4.5143455497382208</v>
      </c>
      <c r="X67" s="118">
        <f>+'FT GAS'!AA123</f>
        <v>4.5378010471204187</v>
      </c>
      <c r="Y67" s="118">
        <f>+'FT GAS'!AB123</f>
        <v>4.7075741710296679</v>
      </c>
      <c r="Z67" s="118">
        <f>+'FT GAS'!AC123</f>
        <v>4.9544153577661429</v>
      </c>
      <c r="AA67" s="118">
        <f>+'FT GAS'!AD123</f>
        <v>5.0627574171029677</v>
      </c>
      <c r="AB67" s="118">
        <f>+'FT GAS'!AE123</f>
        <v>5.0638743455497375</v>
      </c>
      <c r="AC67" s="118">
        <f>+'FT GAS'!AF123</f>
        <v>5.0326003490401394</v>
      </c>
      <c r="AD67" s="118">
        <f>+'FT GAS'!AG123</f>
        <v>4.982338568935428</v>
      </c>
      <c r="AE67" s="118">
        <f>+'FT GAS'!AH123</f>
        <v>5.0113787085514838</v>
      </c>
      <c r="AF67" s="118">
        <f>+'FT GAS'!AI123</f>
        <v>5.0471204188481682</v>
      </c>
      <c r="AG67" s="16">
        <f>AG68/AG66</f>
        <v>4.9093764039402803</v>
      </c>
      <c r="AH67" s="16"/>
      <c r="AI67" s="16"/>
      <c r="AJ67" s="7" t="s">
        <v>109</v>
      </c>
      <c r="AK67" s="118">
        <f>+'FT GAS'!AO123</f>
        <v>5.090680628272251</v>
      </c>
      <c r="AL67" s="118">
        <f>+'FT GAS'!AP123</f>
        <v>5.1174869109947645</v>
      </c>
      <c r="AM67" s="118">
        <f>+'FT GAS'!AQ123</f>
        <v>5.1219546247818499</v>
      </c>
      <c r="AN67" s="118">
        <f>+'FT GAS'!AR123</f>
        <v>5.1576963350785352</v>
      </c>
      <c r="AO67" s="118">
        <f>+'FT GAS'!AS123</f>
        <v>5.3364048865619553</v>
      </c>
      <c r="AP67" s="118">
        <f>+'FT GAS'!AT123</f>
        <v>5.5966492146596867</v>
      </c>
      <c r="AQ67" s="118">
        <f>+'FT GAS'!AU123</f>
        <v>5.7384991273996517</v>
      </c>
      <c r="AR67" s="118">
        <f>+'FT GAS'!AV123</f>
        <v>5.7083420593368235</v>
      </c>
      <c r="AS67" s="118">
        <f>+'FT GAS'!AW123</f>
        <v>5.6312739965095977</v>
      </c>
      <c r="AT67" s="118">
        <f>+'FT GAS'!AX123</f>
        <v>5.4436300174520067</v>
      </c>
      <c r="AU67" s="118">
        <f>+'FT GAS'!AY123</f>
        <v>5.457033158813263</v>
      </c>
      <c r="AV67" s="118">
        <f>+'FT GAS'!AZ123</f>
        <v>5.4961256544502621</v>
      </c>
      <c r="AW67" s="16">
        <f>AW68/AW66</f>
        <v>5.4460804065084947</v>
      </c>
      <c r="AX67" s="16"/>
    </row>
    <row r="68" spans="1:50">
      <c r="A68" s="32"/>
      <c r="B68" s="32"/>
      <c r="C68" s="4" t="s">
        <v>110</v>
      </c>
      <c r="D68" s="32">
        <f t="shared" ref="D68:O68" si="107">D66*D67</f>
        <v>1177924.697801047</v>
      </c>
      <c r="E68" s="32">
        <f t="shared" si="107"/>
        <v>1233001.6860314137</v>
      </c>
      <c r="F68" s="32">
        <f t="shared" si="107"/>
        <v>1024068.0712041884</v>
      </c>
      <c r="G68" s="32">
        <f t="shared" si="107"/>
        <v>1183524.0027923211</v>
      </c>
      <c r="H68" s="32">
        <f t="shared" si="107"/>
        <v>774677.63886910991</v>
      </c>
      <c r="I68" s="32">
        <f t="shared" si="107"/>
        <v>1282342.374701571</v>
      </c>
      <c r="J68" s="32">
        <f t="shared" si="107"/>
        <v>1387244.7706806283</v>
      </c>
      <c r="K68" s="32">
        <f t="shared" si="107"/>
        <v>1042227.6318324608</v>
      </c>
      <c r="L68" s="39">
        <f t="shared" si="107"/>
        <v>830261.34885863855</v>
      </c>
      <c r="M68" s="32">
        <f t="shared" si="107"/>
        <v>1576115.2402094242</v>
      </c>
      <c r="N68" s="32">
        <f t="shared" si="107"/>
        <v>1191352.6169354275</v>
      </c>
      <c r="O68" s="32">
        <f t="shared" si="107"/>
        <v>1080554.7071553229</v>
      </c>
      <c r="P68" s="43">
        <f>SUM(D68:O68)</f>
        <v>13783294.787071552</v>
      </c>
      <c r="Q68" s="32"/>
      <c r="R68" s="32"/>
      <c r="S68" s="32"/>
      <c r="T68" s="4" t="s">
        <v>110</v>
      </c>
      <c r="U68" s="32">
        <f t="shared" ref="U68:AF68" si="108">U66*U67</f>
        <v>1093177.4659685865</v>
      </c>
      <c r="V68" s="32">
        <f t="shared" si="108"/>
        <v>1046073.8568935429</v>
      </c>
      <c r="W68" s="32">
        <f t="shared" si="108"/>
        <v>868560.08376963367</v>
      </c>
      <c r="X68" s="32">
        <f t="shared" si="108"/>
        <v>1398550.282722513</v>
      </c>
      <c r="Y68" s="32">
        <f t="shared" si="108"/>
        <v>1481002.8342059336</v>
      </c>
      <c r="Z68" s="32">
        <f t="shared" si="108"/>
        <v>1888127.692844677</v>
      </c>
      <c r="AA68" s="32">
        <f t="shared" si="108"/>
        <v>1992195.0436300177</v>
      </c>
      <c r="AB68" s="32">
        <f t="shared" si="108"/>
        <v>1766279.3717277485</v>
      </c>
      <c r="AC68" s="39">
        <f t="shared" si="108"/>
        <v>1589295.1902268759</v>
      </c>
      <c r="AD68" s="32">
        <f t="shared" si="108"/>
        <v>1489719.2321116929</v>
      </c>
      <c r="AE68" s="32">
        <f t="shared" si="108"/>
        <v>1226284.3699825481</v>
      </c>
      <c r="AF68" s="32">
        <f t="shared" si="108"/>
        <v>1074027.2251308903</v>
      </c>
      <c r="AG68" s="32">
        <f>SUM(U68:AF68)</f>
        <v>16913292.649214659</v>
      </c>
      <c r="AH68" s="32"/>
      <c r="AI68" s="32"/>
      <c r="AJ68" s="4" t="s">
        <v>110</v>
      </c>
      <c r="AK68" s="32">
        <f t="shared" ref="AK68:AV68" si="109">AK66*AK67</f>
        <v>1156857.172774869</v>
      </c>
      <c r="AL68" s="32">
        <f t="shared" si="109"/>
        <v>1110750.5340314137</v>
      </c>
      <c r="AM68" s="32">
        <f t="shared" si="109"/>
        <v>1011586.0383944154</v>
      </c>
      <c r="AN68" s="32">
        <f t="shared" si="109"/>
        <v>1621579.7277486916</v>
      </c>
      <c r="AO68" s="32">
        <f t="shared" si="109"/>
        <v>1734331.5881326355</v>
      </c>
      <c r="AP68" s="32">
        <f t="shared" si="109"/>
        <v>2186610.8481675396</v>
      </c>
      <c r="AQ68" s="32">
        <f t="shared" si="109"/>
        <v>2313762.8481675396</v>
      </c>
      <c r="AR68" s="32">
        <f t="shared" si="109"/>
        <v>2022465.5916230367</v>
      </c>
      <c r="AS68" s="39">
        <f t="shared" si="109"/>
        <v>1820590.883071553</v>
      </c>
      <c r="AT68" s="32">
        <f t="shared" si="109"/>
        <v>1667383.8743455496</v>
      </c>
      <c r="AU68" s="32">
        <f t="shared" si="109"/>
        <v>1363166.8830715532</v>
      </c>
      <c r="AV68" s="32">
        <f t="shared" si="109"/>
        <v>1197605.7801047121</v>
      </c>
      <c r="AW68" s="32">
        <f>SUM(AK68:AV68)</f>
        <v>19206691.769633509</v>
      </c>
    </row>
    <row r="69" spans="1:50">
      <c r="A69" s="43"/>
      <c r="B69" s="43"/>
      <c r="C69" s="2" t="s">
        <v>120</v>
      </c>
      <c r="D69" s="32">
        <f t="shared" ref="D69:O69" si="110">SUM(D65,D68)</f>
        <v>1177924.697801047</v>
      </c>
      <c r="E69" s="32">
        <f t="shared" si="110"/>
        <v>1233001.6860314137</v>
      </c>
      <c r="F69" s="32">
        <f t="shared" si="110"/>
        <v>1024068.0712041884</v>
      </c>
      <c r="G69" s="32">
        <f t="shared" si="110"/>
        <v>1183524.0027923211</v>
      </c>
      <c r="H69" s="32">
        <f t="shared" si="110"/>
        <v>1348157.63886911</v>
      </c>
      <c r="I69" s="32">
        <f t="shared" si="110"/>
        <v>2006626.374701571</v>
      </c>
      <c r="J69" s="32">
        <f t="shared" si="110"/>
        <v>2111528.7706806283</v>
      </c>
      <c r="K69" s="32">
        <f t="shared" si="110"/>
        <v>1696419.6318324609</v>
      </c>
      <c r="L69" s="39">
        <f t="shared" si="110"/>
        <v>1422857.3488586387</v>
      </c>
      <c r="M69" s="32">
        <f t="shared" si="110"/>
        <v>1576115.2402094242</v>
      </c>
      <c r="N69" s="32">
        <f t="shared" si="110"/>
        <v>1191352.6169354275</v>
      </c>
      <c r="O69" s="32">
        <f t="shared" si="110"/>
        <v>1080554.7071553229</v>
      </c>
      <c r="P69" s="43">
        <f>SUM(D69:O69)</f>
        <v>17052130.787071556</v>
      </c>
      <c r="Q69" s="43"/>
      <c r="R69" s="43"/>
      <c r="S69" s="43"/>
      <c r="T69" s="2" t="s">
        <v>120</v>
      </c>
      <c r="U69" s="32">
        <f t="shared" ref="U69:AF69" si="111">SUM(U65,U68)</f>
        <v>1093177.4659685865</v>
      </c>
      <c r="V69" s="32">
        <f t="shared" si="111"/>
        <v>1046073.8568935429</v>
      </c>
      <c r="W69" s="32">
        <f t="shared" si="111"/>
        <v>868560.08376963367</v>
      </c>
      <c r="X69" s="32">
        <f t="shared" si="111"/>
        <v>1398550.282722513</v>
      </c>
      <c r="Y69" s="32">
        <f t="shared" si="111"/>
        <v>1481002.8342059336</v>
      </c>
      <c r="Z69" s="32">
        <f t="shared" si="111"/>
        <v>1888127.692844677</v>
      </c>
      <c r="AA69" s="32">
        <f t="shared" si="111"/>
        <v>1992195.0436300177</v>
      </c>
      <c r="AB69" s="32">
        <f t="shared" si="111"/>
        <v>1766279.3717277485</v>
      </c>
      <c r="AC69" s="39">
        <f t="shared" si="111"/>
        <v>1589295.1902268759</v>
      </c>
      <c r="AD69" s="32">
        <f t="shared" si="111"/>
        <v>1489719.2321116929</v>
      </c>
      <c r="AE69" s="32">
        <f t="shared" si="111"/>
        <v>1226284.3699825481</v>
      </c>
      <c r="AF69" s="32">
        <f t="shared" si="111"/>
        <v>1074027.2251308903</v>
      </c>
      <c r="AG69" s="43">
        <f>SUM(U69:AF69)</f>
        <v>16913292.649214659</v>
      </c>
      <c r="AH69" s="43"/>
      <c r="AI69" s="43"/>
      <c r="AJ69" s="2" t="s">
        <v>120</v>
      </c>
      <c r="AK69" s="32">
        <f t="shared" ref="AK69:AV69" si="112">SUM(AK65,AK68)</f>
        <v>1156857.172774869</v>
      </c>
      <c r="AL69" s="32">
        <f t="shared" si="112"/>
        <v>1110750.5340314137</v>
      </c>
      <c r="AM69" s="32">
        <f t="shared" si="112"/>
        <v>1011586.0383944154</v>
      </c>
      <c r="AN69" s="32">
        <f t="shared" si="112"/>
        <v>1621579.7277486916</v>
      </c>
      <c r="AO69" s="32">
        <f t="shared" si="112"/>
        <v>1734331.5881326355</v>
      </c>
      <c r="AP69" s="32">
        <f t="shared" si="112"/>
        <v>2186610.8481675396</v>
      </c>
      <c r="AQ69" s="32">
        <f t="shared" si="112"/>
        <v>2313762.8481675396</v>
      </c>
      <c r="AR69" s="32">
        <f t="shared" si="112"/>
        <v>2022465.5916230367</v>
      </c>
      <c r="AS69" s="39">
        <f t="shared" si="112"/>
        <v>1820590.883071553</v>
      </c>
      <c r="AT69" s="32">
        <f t="shared" si="112"/>
        <v>1667383.8743455496</v>
      </c>
      <c r="AU69" s="32">
        <f t="shared" si="112"/>
        <v>1363166.8830715532</v>
      </c>
      <c r="AV69" s="32">
        <f t="shared" si="112"/>
        <v>1197605.7801047121</v>
      </c>
      <c r="AW69" s="43">
        <f>SUM(AK69:AV69)</f>
        <v>19206691.769633509</v>
      </c>
    </row>
    <row r="70" spans="1:50">
      <c r="A70" s="43"/>
      <c r="B70" s="43"/>
      <c r="C70" s="8" t="s">
        <v>611</v>
      </c>
      <c r="D70" s="188">
        <v>151917.04999999999</v>
      </c>
      <c r="E70" s="188">
        <v>147841.45000000001</v>
      </c>
      <c r="F70" s="188">
        <v>125275.59</v>
      </c>
      <c r="G70" s="188">
        <v>153586</v>
      </c>
      <c r="H70" s="188">
        <v>157681.49</v>
      </c>
      <c r="I70" s="188">
        <v>140467.96</v>
      </c>
      <c r="J70" s="188">
        <v>149300.82</v>
      </c>
      <c r="K70" s="188">
        <v>149126.12</v>
      </c>
      <c r="L70" s="188">
        <v>128850.65</v>
      </c>
      <c r="M70" s="437">
        <v>131673.26999999999</v>
      </c>
      <c r="N70" s="471">
        <v>154729.69</v>
      </c>
      <c r="O70" s="437">
        <v>151308.72999999998</v>
      </c>
      <c r="P70" s="43">
        <f>SUM(D70:O70)</f>
        <v>1741758.8199999998</v>
      </c>
      <c r="Q70" s="34"/>
      <c r="R70" s="43"/>
      <c r="S70" s="43"/>
      <c r="T70" s="170" t="s">
        <v>611</v>
      </c>
      <c r="U70" s="32">
        <v>150000</v>
      </c>
      <c r="V70" s="32">
        <v>150000</v>
      </c>
      <c r="W70" s="32">
        <v>150000</v>
      </c>
      <c r="X70" s="32">
        <v>150000</v>
      </c>
      <c r="Y70" s="32">
        <v>150000</v>
      </c>
      <c r="Z70" s="32">
        <v>150000</v>
      </c>
      <c r="AA70" s="32">
        <v>150000</v>
      </c>
      <c r="AB70" s="32">
        <v>150000</v>
      </c>
      <c r="AC70" s="32">
        <v>150000</v>
      </c>
      <c r="AD70" s="32">
        <v>150000</v>
      </c>
      <c r="AE70" s="32">
        <v>150000</v>
      </c>
      <c r="AF70" s="32">
        <v>150000</v>
      </c>
      <c r="AG70" s="43">
        <f>SUM(U70:AF70)</f>
        <v>1800000</v>
      </c>
      <c r="AH70" s="43"/>
      <c r="AI70" s="43"/>
      <c r="AJ70" s="170" t="s">
        <v>611</v>
      </c>
      <c r="AK70" s="32">
        <v>150000</v>
      </c>
      <c r="AL70" s="32">
        <v>150000</v>
      </c>
      <c r="AM70" s="32">
        <v>150000</v>
      </c>
      <c r="AN70" s="32">
        <v>150000</v>
      </c>
      <c r="AO70" s="32">
        <v>150000</v>
      </c>
      <c r="AP70" s="32">
        <v>150000</v>
      </c>
      <c r="AQ70" s="32">
        <v>150000</v>
      </c>
      <c r="AR70" s="32">
        <v>150000</v>
      </c>
      <c r="AS70" s="32">
        <v>150000</v>
      </c>
      <c r="AT70" s="32">
        <v>150000</v>
      </c>
      <c r="AU70" s="32">
        <v>150000</v>
      </c>
      <c r="AV70" s="32">
        <v>150000</v>
      </c>
      <c r="AW70" s="43">
        <f>SUM(AK70:AV70)</f>
        <v>1800000</v>
      </c>
    </row>
    <row r="71" spans="1:50">
      <c r="A71" s="43"/>
      <c r="B71" s="43"/>
      <c r="C71" s="2" t="s">
        <v>76</v>
      </c>
      <c r="D71" s="32">
        <f t="shared" ref="D71:O71" si="113">SUM(D69:D70)</f>
        <v>1329841.7478010471</v>
      </c>
      <c r="E71" s="32">
        <f t="shared" si="113"/>
        <v>1380843.1360314137</v>
      </c>
      <c r="F71" s="32">
        <f t="shared" si="113"/>
        <v>1149343.6612041884</v>
      </c>
      <c r="G71" s="32">
        <f t="shared" si="113"/>
        <v>1337110.0027923211</v>
      </c>
      <c r="H71" s="32">
        <f t="shared" si="113"/>
        <v>1505839.12886911</v>
      </c>
      <c r="I71" s="32">
        <f t="shared" si="113"/>
        <v>2147094.3347015711</v>
      </c>
      <c r="J71" s="32">
        <f t="shared" si="113"/>
        <v>2260829.5906806281</v>
      </c>
      <c r="K71" s="32">
        <f t="shared" si="113"/>
        <v>1845545.751832461</v>
      </c>
      <c r="L71" s="39">
        <f t="shared" si="113"/>
        <v>1551707.9988586386</v>
      </c>
      <c r="M71" s="32">
        <f t="shared" si="113"/>
        <v>1707788.5102094242</v>
      </c>
      <c r="N71" s="32">
        <f t="shared" si="113"/>
        <v>1346082.3069354275</v>
      </c>
      <c r="O71" s="32">
        <f t="shared" si="113"/>
        <v>1231863.4371553229</v>
      </c>
      <c r="P71" s="43">
        <f>SUM(D71:O71)</f>
        <v>18793889.607071549</v>
      </c>
      <c r="Q71" s="43"/>
      <c r="R71" s="43"/>
      <c r="S71" s="43"/>
      <c r="T71" s="2" t="s">
        <v>76</v>
      </c>
      <c r="U71" s="32">
        <f t="shared" ref="U71:AF71" si="114">SUM(U69:U70)</f>
        <v>1243177.4659685865</v>
      </c>
      <c r="V71" s="32">
        <f t="shared" si="114"/>
        <v>1196073.8568935429</v>
      </c>
      <c r="W71" s="32">
        <f t="shared" si="114"/>
        <v>1018560.0837696337</v>
      </c>
      <c r="X71" s="32">
        <f t="shared" si="114"/>
        <v>1548550.282722513</v>
      </c>
      <c r="Y71" s="32">
        <f t="shared" si="114"/>
        <v>1631002.8342059336</v>
      </c>
      <c r="Z71" s="32">
        <f t="shared" si="114"/>
        <v>2038127.692844677</v>
      </c>
      <c r="AA71" s="32">
        <f t="shared" si="114"/>
        <v>2142195.0436300179</v>
      </c>
      <c r="AB71" s="32">
        <f t="shared" si="114"/>
        <v>1916279.3717277485</v>
      </c>
      <c r="AC71" s="39">
        <f t="shared" si="114"/>
        <v>1739295.1902268759</v>
      </c>
      <c r="AD71" s="32">
        <f t="shared" si="114"/>
        <v>1639719.2321116929</v>
      </c>
      <c r="AE71" s="32">
        <f t="shared" si="114"/>
        <v>1376284.3699825481</v>
      </c>
      <c r="AF71" s="32">
        <f t="shared" si="114"/>
        <v>1224027.2251308903</v>
      </c>
      <c r="AG71" s="43">
        <f>SUM(U71:AF71)</f>
        <v>18713292.649214659</v>
      </c>
      <c r="AH71" s="43"/>
      <c r="AI71" s="43"/>
      <c r="AJ71" s="2" t="s">
        <v>76</v>
      </c>
      <c r="AK71" s="32">
        <f t="shared" ref="AK71:AV71" si="115">SUM(AK69:AK70)</f>
        <v>1306857.172774869</v>
      </c>
      <c r="AL71" s="32">
        <f t="shared" si="115"/>
        <v>1260750.5340314137</v>
      </c>
      <c r="AM71" s="32">
        <f t="shared" si="115"/>
        <v>1161586.0383944153</v>
      </c>
      <c r="AN71" s="32">
        <f t="shared" si="115"/>
        <v>1771579.7277486916</v>
      </c>
      <c r="AO71" s="32">
        <f t="shared" si="115"/>
        <v>1884331.5881326355</v>
      </c>
      <c r="AP71" s="32">
        <f t="shared" si="115"/>
        <v>2336610.8481675396</v>
      </c>
      <c r="AQ71" s="32">
        <f t="shared" si="115"/>
        <v>2463762.8481675396</v>
      </c>
      <c r="AR71" s="32">
        <f t="shared" si="115"/>
        <v>2172465.5916230367</v>
      </c>
      <c r="AS71" s="39">
        <f t="shared" si="115"/>
        <v>1970590.883071553</v>
      </c>
      <c r="AT71" s="32">
        <f t="shared" si="115"/>
        <v>1817383.8743455496</v>
      </c>
      <c r="AU71" s="32">
        <f t="shared" si="115"/>
        <v>1513166.8830715532</v>
      </c>
      <c r="AV71" s="32">
        <f t="shared" si="115"/>
        <v>1347605.7801047121</v>
      </c>
      <c r="AW71" s="43">
        <f>SUM(AK71:AV71)</f>
        <v>21006691.769633509</v>
      </c>
    </row>
    <row r="72" spans="1:50">
      <c r="A72" s="43"/>
      <c r="B72" s="43"/>
      <c r="C72" s="332" t="s">
        <v>914</v>
      </c>
      <c r="D72" s="32"/>
      <c r="E72" s="32"/>
      <c r="F72" s="32"/>
      <c r="G72" s="32"/>
      <c r="H72" s="32"/>
      <c r="I72" s="32"/>
      <c r="J72" s="32"/>
      <c r="K72" s="32"/>
      <c r="L72" s="39"/>
      <c r="M72" s="32"/>
      <c r="N72" s="32"/>
      <c r="O72" s="32"/>
      <c r="P72" s="43"/>
      <c r="Q72" s="43"/>
      <c r="R72" s="43"/>
      <c r="S72" s="43"/>
      <c r="T72" s="332" t="s">
        <v>914</v>
      </c>
      <c r="U72" s="32"/>
      <c r="V72" s="32"/>
      <c r="W72" s="32"/>
      <c r="X72" s="32"/>
      <c r="Y72" s="32"/>
      <c r="Z72" s="32"/>
      <c r="AA72" s="32"/>
      <c r="AB72" s="32"/>
      <c r="AC72" s="39"/>
      <c r="AD72" s="32"/>
      <c r="AE72" s="32"/>
      <c r="AF72" s="32"/>
      <c r="AG72" s="43"/>
      <c r="AH72" s="43"/>
      <c r="AI72" s="43"/>
      <c r="AJ72" s="2"/>
      <c r="AK72" s="32"/>
      <c r="AL72" s="32"/>
      <c r="AM72" s="32"/>
      <c r="AN72" s="32"/>
      <c r="AO72" s="32"/>
      <c r="AP72" s="32"/>
      <c r="AQ72" s="32"/>
      <c r="AR72" s="32"/>
      <c r="AS72" s="39"/>
      <c r="AT72" s="32"/>
      <c r="AU72" s="32"/>
      <c r="AV72" s="32"/>
      <c r="AW72" s="43"/>
    </row>
    <row r="73" spans="1:50">
      <c r="A73" s="43"/>
      <c r="B73" s="43"/>
      <c r="C73" s="332" t="s">
        <v>915</v>
      </c>
      <c r="D73" s="32">
        <f>D71+D72</f>
        <v>1329841.7478010471</v>
      </c>
      <c r="E73" s="32">
        <f t="shared" ref="E73:O73" si="116">E71+E72</f>
        <v>1380843.1360314137</v>
      </c>
      <c r="F73" s="32">
        <f t="shared" si="116"/>
        <v>1149343.6612041884</v>
      </c>
      <c r="G73" s="32">
        <f t="shared" si="116"/>
        <v>1337110.0027923211</v>
      </c>
      <c r="H73" s="32">
        <f t="shared" si="116"/>
        <v>1505839.12886911</v>
      </c>
      <c r="I73" s="32">
        <f t="shared" si="116"/>
        <v>2147094.3347015711</v>
      </c>
      <c r="J73" s="32">
        <f t="shared" si="116"/>
        <v>2260829.5906806281</v>
      </c>
      <c r="K73" s="32">
        <f t="shared" si="116"/>
        <v>1845545.751832461</v>
      </c>
      <c r="L73" s="32">
        <f t="shared" si="116"/>
        <v>1551707.9988586386</v>
      </c>
      <c r="M73" s="32">
        <f t="shared" si="116"/>
        <v>1707788.5102094242</v>
      </c>
      <c r="N73" s="32">
        <f t="shared" si="116"/>
        <v>1346082.3069354275</v>
      </c>
      <c r="O73" s="32">
        <f t="shared" si="116"/>
        <v>1231863.4371553229</v>
      </c>
      <c r="P73" s="43"/>
      <c r="Q73" s="43"/>
      <c r="R73" s="43"/>
      <c r="S73" s="43"/>
      <c r="T73" s="332" t="s">
        <v>915</v>
      </c>
      <c r="U73" s="32">
        <f t="shared" ref="U73:AF73" si="117">U71+U72</f>
        <v>1243177.4659685865</v>
      </c>
      <c r="V73" s="32">
        <f t="shared" si="117"/>
        <v>1196073.8568935429</v>
      </c>
      <c r="W73" s="32">
        <f t="shared" si="117"/>
        <v>1018560.0837696337</v>
      </c>
      <c r="X73" s="32">
        <f t="shared" si="117"/>
        <v>1548550.282722513</v>
      </c>
      <c r="Y73" s="32">
        <f t="shared" si="117"/>
        <v>1631002.8342059336</v>
      </c>
      <c r="Z73" s="32">
        <f t="shared" si="117"/>
        <v>2038127.692844677</v>
      </c>
      <c r="AA73" s="32">
        <f t="shared" si="117"/>
        <v>2142195.0436300179</v>
      </c>
      <c r="AB73" s="32">
        <f t="shared" si="117"/>
        <v>1916279.3717277485</v>
      </c>
      <c r="AC73" s="32">
        <f t="shared" si="117"/>
        <v>1739295.1902268759</v>
      </c>
      <c r="AD73" s="32">
        <f t="shared" si="117"/>
        <v>1639719.2321116929</v>
      </c>
      <c r="AE73" s="32">
        <f t="shared" si="117"/>
        <v>1376284.3699825481</v>
      </c>
      <c r="AF73" s="32">
        <f t="shared" si="117"/>
        <v>1224027.2251308903</v>
      </c>
      <c r="AG73" s="43"/>
      <c r="AH73" s="43"/>
      <c r="AI73" s="43"/>
      <c r="AJ73" s="2"/>
      <c r="AK73" s="32"/>
      <c r="AL73" s="32"/>
      <c r="AM73" s="32"/>
      <c r="AN73" s="32"/>
      <c r="AO73" s="32"/>
      <c r="AP73" s="32"/>
      <c r="AQ73" s="32"/>
      <c r="AR73" s="32"/>
      <c r="AS73" s="39"/>
      <c r="AT73" s="32"/>
      <c r="AU73" s="32"/>
      <c r="AV73" s="32"/>
      <c r="AW73" s="43"/>
    </row>
    <row r="74" spans="1:50">
      <c r="A74" s="43"/>
      <c r="B74" s="43"/>
      <c r="C74" s="170"/>
      <c r="D74" s="32"/>
      <c r="E74" s="32"/>
      <c r="F74" s="32"/>
      <c r="G74" s="32"/>
      <c r="H74" s="32"/>
      <c r="I74" s="32"/>
      <c r="J74" s="32"/>
      <c r="K74" s="32"/>
      <c r="L74" s="39"/>
      <c r="M74" s="32"/>
      <c r="N74" s="32"/>
      <c r="O74" s="32"/>
      <c r="P74" s="43"/>
      <c r="Q74" s="43"/>
      <c r="R74" s="43"/>
      <c r="S74" s="43"/>
      <c r="T74" s="2"/>
      <c r="U74" s="32"/>
      <c r="V74" s="32"/>
      <c r="W74" s="32"/>
      <c r="X74" s="32"/>
      <c r="Y74" s="32"/>
      <c r="Z74" s="32"/>
      <c r="AA74" s="32"/>
      <c r="AB74" s="32"/>
      <c r="AC74" s="39"/>
      <c r="AD74" s="32"/>
      <c r="AE74" s="32"/>
      <c r="AF74" s="32"/>
      <c r="AG74" s="43"/>
      <c r="AH74" s="43"/>
      <c r="AI74" s="43"/>
      <c r="AJ74" s="2"/>
      <c r="AK74" s="32"/>
      <c r="AL74" s="32"/>
      <c r="AM74" s="32"/>
      <c r="AN74" s="32"/>
      <c r="AO74" s="32"/>
      <c r="AP74" s="32"/>
      <c r="AQ74" s="32"/>
      <c r="AR74" s="32"/>
      <c r="AS74" s="39"/>
      <c r="AT74" s="32"/>
      <c r="AU74" s="32"/>
      <c r="AV74" s="32"/>
      <c r="AW74" s="43"/>
    </row>
    <row r="75" spans="1:50">
      <c r="A75" s="43"/>
      <c r="B75" s="43"/>
      <c r="C75" s="170" t="s">
        <v>466</v>
      </c>
      <c r="D75" s="17">
        <f>+'FT GAS'!G109</f>
        <v>4.7169999999999996</v>
      </c>
      <c r="E75" s="17">
        <f>+'FT GAS'!H109</f>
        <v>4.774</v>
      </c>
      <c r="F75" s="17">
        <f>+'FT GAS'!I109</f>
        <v>3.6509999999999998</v>
      </c>
      <c r="G75" s="17">
        <f>+'FT GAS'!J109</f>
        <v>3.8370000000000002</v>
      </c>
      <c r="H75" s="17">
        <f>+'FT GAS'!K109</f>
        <v>3.2919999999999998</v>
      </c>
      <c r="I75" s="17">
        <f>+'FT GAS'!L109</f>
        <v>4.2670000000000003</v>
      </c>
      <c r="J75" s="17">
        <f>+'FT GAS'!M109</f>
        <v>4.2160000000000002</v>
      </c>
      <c r="K75" s="17">
        <f>+'FT GAS'!N109</f>
        <v>4.3159999999999998</v>
      </c>
      <c r="L75" s="17">
        <f>+'FT GAS'!O109</f>
        <v>3.7930000000000001</v>
      </c>
      <c r="M75" s="17">
        <f>+'FT GAS'!P109</f>
        <v>4.24</v>
      </c>
      <c r="N75" s="17">
        <f>+'FT GAS'!Q109</f>
        <v>4.3769999999999998</v>
      </c>
      <c r="O75" s="17">
        <f>+'FT GAS'!R109</f>
        <v>4.3259999999999996</v>
      </c>
      <c r="P75" s="43"/>
      <c r="Q75" s="43"/>
      <c r="R75" s="43"/>
      <c r="S75" s="43"/>
      <c r="T75" s="2"/>
      <c r="U75" s="32"/>
      <c r="V75" s="32"/>
      <c r="W75" s="32"/>
      <c r="X75" s="32"/>
      <c r="Y75" s="32"/>
      <c r="Z75" s="32"/>
      <c r="AA75" s="32"/>
      <c r="AB75" s="32"/>
      <c r="AC75" s="39"/>
      <c r="AD75" s="32"/>
      <c r="AE75" s="32"/>
      <c r="AF75" s="32"/>
      <c r="AG75" s="43"/>
      <c r="AH75" s="43"/>
      <c r="AI75" s="43"/>
      <c r="AJ75" s="2"/>
      <c r="AK75" s="32"/>
      <c r="AL75" s="32"/>
      <c r="AM75" s="32"/>
      <c r="AN75" s="32"/>
      <c r="AO75" s="32"/>
      <c r="AP75" s="32"/>
      <c r="AQ75" s="32"/>
      <c r="AR75" s="32"/>
      <c r="AS75" s="39"/>
      <c r="AT75" s="32"/>
      <c r="AU75" s="32"/>
      <c r="AV75" s="32"/>
      <c r="AW75" s="43"/>
    </row>
    <row r="76" spans="1:50">
      <c r="A76" s="16"/>
      <c r="B76" s="16"/>
      <c r="C76" s="170" t="s">
        <v>134</v>
      </c>
      <c r="D76" s="146">
        <v>7.35</v>
      </c>
      <c r="E76" s="146">
        <v>7.35</v>
      </c>
      <c r="F76" s="146">
        <v>7.35</v>
      </c>
      <c r="G76" s="146">
        <v>7.35</v>
      </c>
      <c r="H76" s="146">
        <v>7.35</v>
      </c>
      <c r="I76" s="146">
        <v>6.95</v>
      </c>
      <c r="J76" s="146">
        <v>6.95</v>
      </c>
      <c r="K76" s="146">
        <v>6.5</v>
      </c>
      <c r="L76" s="146">
        <v>6.5</v>
      </c>
      <c r="M76" s="146">
        <v>6.5</v>
      </c>
      <c r="N76" s="146">
        <v>6.5</v>
      </c>
      <c r="O76" s="146">
        <v>6.5</v>
      </c>
      <c r="P76" s="34">
        <f>P78/P8</f>
        <v>6.8695394206756761</v>
      </c>
      <c r="Q76" s="16"/>
      <c r="R76" s="16"/>
      <c r="S76" s="16"/>
      <c r="T76" s="170" t="s">
        <v>134</v>
      </c>
      <c r="U76" s="146">
        <v>6.5</v>
      </c>
      <c r="V76" s="146">
        <v>6.5</v>
      </c>
      <c r="W76" s="146">
        <v>6.5</v>
      </c>
      <c r="X76" s="146">
        <v>6.5</v>
      </c>
      <c r="Y76" s="146">
        <v>6.5</v>
      </c>
      <c r="Z76" s="146">
        <v>6.5</v>
      </c>
      <c r="AA76" s="146">
        <v>6.5</v>
      </c>
      <c r="AB76" s="146">
        <v>6.5</v>
      </c>
      <c r="AC76" s="146">
        <v>6.5</v>
      </c>
      <c r="AD76" s="146">
        <v>6.5</v>
      </c>
      <c r="AE76" s="146">
        <v>6.5</v>
      </c>
      <c r="AF76" s="146">
        <v>6.5</v>
      </c>
      <c r="AG76" s="16">
        <f>AG78/AG8</f>
        <v>6.4999999999999991</v>
      </c>
      <c r="AH76" s="16"/>
      <c r="AI76" s="16"/>
      <c r="AJ76" s="170" t="s">
        <v>134</v>
      </c>
      <c r="AK76" s="146">
        <v>6.5</v>
      </c>
      <c r="AL76" s="146">
        <v>6.5</v>
      </c>
      <c r="AM76" s="146">
        <v>6.5</v>
      </c>
      <c r="AN76" s="146">
        <v>6.5</v>
      </c>
      <c r="AO76" s="146">
        <v>6.5</v>
      </c>
      <c r="AP76" s="146">
        <v>6.5</v>
      </c>
      <c r="AQ76" s="146">
        <v>6.5</v>
      </c>
      <c r="AR76" s="146">
        <v>6.5</v>
      </c>
      <c r="AS76" s="146">
        <v>6.5</v>
      </c>
      <c r="AT76" s="146">
        <v>6.5</v>
      </c>
      <c r="AU76" s="146">
        <v>6.5</v>
      </c>
      <c r="AV76" s="146">
        <v>6.5</v>
      </c>
      <c r="AW76" s="16">
        <f>AW78/AW8</f>
        <v>6.4999999999999982</v>
      </c>
    </row>
    <row r="77" spans="1:50">
      <c r="A77" s="16"/>
      <c r="B77" s="16"/>
      <c r="C77" s="170" t="s">
        <v>461</v>
      </c>
      <c r="D77" s="128"/>
      <c r="E77" s="128">
        <f t="shared" ref="E77:O77" si="118">(E76-D76)/D76</f>
        <v>0</v>
      </c>
      <c r="F77" s="128">
        <f t="shared" si="118"/>
        <v>0</v>
      </c>
      <c r="G77" s="128">
        <f t="shared" si="118"/>
        <v>0</v>
      </c>
      <c r="H77" s="129">
        <f t="shared" si="118"/>
        <v>0</v>
      </c>
      <c r="I77" s="128">
        <f t="shared" si="118"/>
        <v>-5.4421768707482922E-2</v>
      </c>
      <c r="J77" s="128">
        <f t="shared" si="118"/>
        <v>0</v>
      </c>
      <c r="K77" s="128">
        <f t="shared" si="118"/>
        <v>-6.4748201438848949E-2</v>
      </c>
      <c r="L77" s="128">
        <f t="shared" si="118"/>
        <v>0</v>
      </c>
      <c r="M77" s="128">
        <f t="shared" si="118"/>
        <v>0</v>
      </c>
      <c r="N77" s="128">
        <f t="shared" si="118"/>
        <v>0</v>
      </c>
      <c r="O77" s="128">
        <f t="shared" si="118"/>
        <v>0</v>
      </c>
      <c r="P77" s="34"/>
      <c r="Q77" s="16"/>
      <c r="R77" s="16"/>
      <c r="S77" s="16"/>
      <c r="T77" s="170" t="s">
        <v>461</v>
      </c>
      <c r="U77" s="128">
        <f>(U76-P76)/O76</f>
        <v>-5.6852218565488638E-2</v>
      </c>
      <c r="V77" s="128">
        <f t="shared" ref="V77:AF77" si="119">(V76-U76)/U76</f>
        <v>0</v>
      </c>
      <c r="W77" s="128">
        <f t="shared" si="119"/>
        <v>0</v>
      </c>
      <c r="X77" s="128">
        <f t="shared" si="119"/>
        <v>0</v>
      </c>
      <c r="Y77" s="128">
        <f t="shared" si="119"/>
        <v>0</v>
      </c>
      <c r="Z77" s="128">
        <f t="shared" si="119"/>
        <v>0</v>
      </c>
      <c r="AA77" s="128">
        <f t="shared" si="119"/>
        <v>0</v>
      </c>
      <c r="AB77" s="128">
        <f t="shared" si="119"/>
        <v>0</v>
      </c>
      <c r="AC77" s="128">
        <f t="shared" si="119"/>
        <v>0</v>
      </c>
      <c r="AD77" s="128">
        <f t="shared" si="119"/>
        <v>0</v>
      </c>
      <c r="AE77" s="128">
        <f t="shared" si="119"/>
        <v>0</v>
      </c>
      <c r="AF77" s="128">
        <f t="shared" si="119"/>
        <v>0</v>
      </c>
      <c r="AG77" s="16"/>
      <c r="AH77" s="16"/>
      <c r="AI77" s="16"/>
      <c r="AJ77" s="170" t="s">
        <v>461</v>
      </c>
      <c r="AK77" s="17"/>
      <c r="AL77" s="128">
        <f t="shared" ref="AL77:AV77" si="120">(AL76-AK76)/AK76</f>
        <v>0</v>
      </c>
      <c r="AM77" s="128">
        <f t="shared" si="120"/>
        <v>0</v>
      </c>
      <c r="AN77" s="128">
        <f t="shared" si="120"/>
        <v>0</v>
      </c>
      <c r="AO77" s="128">
        <f t="shared" si="120"/>
        <v>0</v>
      </c>
      <c r="AP77" s="128">
        <f t="shared" si="120"/>
        <v>0</v>
      </c>
      <c r="AQ77" s="128">
        <f t="shared" si="120"/>
        <v>0</v>
      </c>
      <c r="AR77" s="128">
        <f t="shared" si="120"/>
        <v>0</v>
      </c>
      <c r="AS77" s="128">
        <f t="shared" si="120"/>
        <v>0</v>
      </c>
      <c r="AT77" s="128">
        <f t="shared" si="120"/>
        <v>0</v>
      </c>
      <c r="AU77" s="128">
        <f t="shared" si="120"/>
        <v>0</v>
      </c>
      <c r="AV77" s="128">
        <f t="shared" si="120"/>
        <v>0</v>
      </c>
      <c r="AW77" s="16"/>
    </row>
    <row r="78" spans="1:50">
      <c r="A78" s="43"/>
      <c r="B78" s="43"/>
      <c r="C78" s="2" t="s">
        <v>142</v>
      </c>
      <c r="D78" s="32">
        <f t="shared" ref="D78:O78" si="121">D76*D8</f>
        <v>1332560.8799999999</v>
      </c>
      <c r="E78" s="32">
        <f t="shared" si="121"/>
        <v>1425449.4450000001</v>
      </c>
      <c r="F78" s="32">
        <f t="shared" si="121"/>
        <v>1574531.7</v>
      </c>
      <c r="G78" s="32">
        <f t="shared" si="121"/>
        <v>3025193.8499999996</v>
      </c>
      <c r="H78" s="32">
        <f t="shared" si="121"/>
        <v>7495690.9649999999</v>
      </c>
      <c r="I78" s="32">
        <f t="shared" si="121"/>
        <v>15964740.75</v>
      </c>
      <c r="J78" s="32">
        <f t="shared" si="121"/>
        <v>15856851.73</v>
      </c>
      <c r="K78" s="32">
        <f t="shared" si="121"/>
        <v>9447341.1500000004</v>
      </c>
      <c r="L78" s="39">
        <f t="shared" si="121"/>
        <v>7494188.6499999994</v>
      </c>
      <c r="M78" s="32">
        <f t="shared" si="121"/>
        <v>3435226.6</v>
      </c>
      <c r="N78" s="32">
        <f t="shared" si="121"/>
        <v>1782552.85</v>
      </c>
      <c r="O78" s="32">
        <f t="shared" si="121"/>
        <v>1399156.2000000002</v>
      </c>
      <c r="P78" s="43">
        <f>SUM(D78:O78)</f>
        <v>70233484.769999996</v>
      </c>
      <c r="Q78" s="43"/>
      <c r="R78" s="43"/>
      <c r="S78" s="43"/>
      <c r="T78" s="2" t="s">
        <v>142</v>
      </c>
      <c r="U78" s="32">
        <f t="shared" ref="U78:AF78" si="122">U76*U8</f>
        <v>1269554.05041963</v>
      </c>
      <c r="V78" s="32">
        <f t="shared" si="122"/>
        <v>1269554.05041963</v>
      </c>
      <c r="W78" s="32">
        <f t="shared" si="122"/>
        <v>1553059.2272060777</v>
      </c>
      <c r="X78" s="32">
        <f t="shared" si="122"/>
        <v>3973375.1608496034</v>
      </c>
      <c r="Y78" s="32">
        <f t="shared" si="122"/>
        <v>6876582.5690748682</v>
      </c>
      <c r="Z78" s="32">
        <f t="shared" si="122"/>
        <v>10258257.119760161</v>
      </c>
      <c r="AA78" s="32">
        <f t="shared" si="122"/>
        <v>11760379.958887924</v>
      </c>
      <c r="AB78" s="32">
        <f t="shared" si="122"/>
        <v>9618666.7937047631</v>
      </c>
      <c r="AC78" s="39">
        <f t="shared" si="122"/>
        <v>7614520.9228952993</v>
      </c>
      <c r="AD78" s="32">
        <f t="shared" si="122"/>
        <v>4280914.3030620934</v>
      </c>
      <c r="AE78" s="32">
        <f t="shared" si="122"/>
        <v>2230912.6674613981</v>
      </c>
      <c r="AF78" s="32">
        <f t="shared" si="122"/>
        <v>1228600.693954481</v>
      </c>
      <c r="AG78" s="43">
        <f>SUM(U78:AF78)</f>
        <v>61934377.517695934</v>
      </c>
      <c r="AH78" s="43"/>
      <c r="AI78" s="43"/>
      <c r="AJ78" s="2" t="s">
        <v>142</v>
      </c>
      <c r="AK78" s="32">
        <f t="shared" ref="AK78:AV78" si="123">AK76*AK8</f>
        <v>1280430.8971006274</v>
      </c>
      <c r="AL78" s="32">
        <f t="shared" si="123"/>
        <v>1280430.8971006274</v>
      </c>
      <c r="AM78" s="32">
        <f t="shared" si="123"/>
        <v>1566346.2385815769</v>
      </c>
      <c r="AN78" s="32">
        <f t="shared" si="123"/>
        <v>4007260.5968345143</v>
      </c>
      <c r="AO78" s="32">
        <f t="shared" si="123"/>
        <v>6935170.936279851</v>
      </c>
      <c r="AP78" s="32">
        <f t="shared" si="123"/>
        <v>10345624.743327061</v>
      </c>
      <c r="AQ78" s="32">
        <f t="shared" si="123"/>
        <v>11860530.132068109</v>
      </c>
      <c r="AR78" s="32">
        <f t="shared" si="123"/>
        <v>9700584.6221387889</v>
      </c>
      <c r="AS78" s="39">
        <f t="shared" si="123"/>
        <v>7679391.2591428161</v>
      </c>
      <c r="AT78" s="32">
        <f t="shared" si="123"/>
        <v>4317414.4245353201</v>
      </c>
      <c r="AU78" s="32">
        <f t="shared" si="123"/>
        <v>2249970.3458948983</v>
      </c>
      <c r="AV78" s="32">
        <f t="shared" si="123"/>
        <v>1239126.6746135105</v>
      </c>
      <c r="AW78" s="43">
        <f>SUM(AK78:AV78)</f>
        <v>62462281.767617695</v>
      </c>
    </row>
    <row r="79" spans="1:50">
      <c r="A79" s="43"/>
      <c r="B79" s="43"/>
      <c r="C79" s="2" t="s">
        <v>628</v>
      </c>
      <c r="D79" s="32">
        <f>D78</f>
        <v>1332560.8799999999</v>
      </c>
      <c r="E79" s="32">
        <f t="shared" ref="E79:O79" si="124">D79+E78</f>
        <v>2758010.3250000002</v>
      </c>
      <c r="F79" s="32">
        <f t="shared" si="124"/>
        <v>4332542.0250000004</v>
      </c>
      <c r="G79" s="32">
        <f t="shared" si="124"/>
        <v>7357735.875</v>
      </c>
      <c r="H79" s="32">
        <f t="shared" si="124"/>
        <v>14853426.84</v>
      </c>
      <c r="I79" s="32">
        <f t="shared" si="124"/>
        <v>30818167.59</v>
      </c>
      <c r="J79" s="32">
        <f t="shared" si="124"/>
        <v>46675019.32</v>
      </c>
      <c r="K79" s="32">
        <f t="shared" si="124"/>
        <v>56122360.469999999</v>
      </c>
      <c r="L79" s="39">
        <f t="shared" si="124"/>
        <v>63616549.119999997</v>
      </c>
      <c r="M79" s="32">
        <f t="shared" si="124"/>
        <v>67051775.719999999</v>
      </c>
      <c r="N79" s="32">
        <f t="shared" si="124"/>
        <v>68834328.569999993</v>
      </c>
      <c r="O79" s="32">
        <f t="shared" si="124"/>
        <v>70233484.769999996</v>
      </c>
      <c r="P79" s="43"/>
      <c r="Q79" s="43"/>
      <c r="R79" s="43"/>
      <c r="S79" s="43"/>
      <c r="T79" s="2" t="s">
        <v>144</v>
      </c>
      <c r="U79" s="32">
        <f>U78</f>
        <v>1269554.05041963</v>
      </c>
      <c r="V79" s="32">
        <f t="shared" ref="V79:AF79" si="125">U79+V78</f>
        <v>2539108.10083926</v>
      </c>
      <c r="W79" s="32">
        <f t="shared" si="125"/>
        <v>4092167.3280453375</v>
      </c>
      <c r="X79" s="32">
        <f t="shared" si="125"/>
        <v>8065542.4888949413</v>
      </c>
      <c r="Y79" s="32">
        <f t="shared" si="125"/>
        <v>14942125.057969809</v>
      </c>
      <c r="Z79" s="32">
        <f t="shared" si="125"/>
        <v>25200382.177729972</v>
      </c>
      <c r="AA79" s="32">
        <f t="shared" si="125"/>
        <v>36960762.136617899</v>
      </c>
      <c r="AB79" s="32">
        <f t="shared" si="125"/>
        <v>46579428.930322662</v>
      </c>
      <c r="AC79" s="39">
        <f t="shared" si="125"/>
        <v>54193949.853217959</v>
      </c>
      <c r="AD79" s="32">
        <f t="shared" si="125"/>
        <v>58474864.156280056</v>
      </c>
      <c r="AE79" s="32">
        <f t="shared" si="125"/>
        <v>60705776.823741451</v>
      </c>
      <c r="AF79" s="32">
        <f t="shared" si="125"/>
        <v>61934377.517695934</v>
      </c>
      <c r="AG79" s="43"/>
      <c r="AH79" s="43"/>
      <c r="AI79" s="43"/>
      <c r="AJ79" s="2" t="s">
        <v>144</v>
      </c>
      <c r="AK79" s="32">
        <f>AK78</f>
        <v>1280430.8971006274</v>
      </c>
      <c r="AL79" s="32">
        <f t="shared" ref="AL79:AV79" si="126">AK79+AL78</f>
        <v>2560861.7942012548</v>
      </c>
      <c r="AM79" s="32">
        <f t="shared" si="126"/>
        <v>4127208.0327828317</v>
      </c>
      <c r="AN79" s="32">
        <f t="shared" si="126"/>
        <v>8134468.6296173465</v>
      </c>
      <c r="AO79" s="32">
        <f t="shared" si="126"/>
        <v>15069639.565897197</v>
      </c>
      <c r="AP79" s="32">
        <f t="shared" si="126"/>
        <v>25415264.309224255</v>
      </c>
      <c r="AQ79" s="32">
        <f t="shared" si="126"/>
        <v>37275794.44129236</v>
      </c>
      <c r="AR79" s="32">
        <f t="shared" si="126"/>
        <v>46976379.063431151</v>
      </c>
      <c r="AS79" s="39">
        <f t="shared" si="126"/>
        <v>54655770.322573967</v>
      </c>
      <c r="AT79" s="32">
        <f t="shared" si="126"/>
        <v>58973184.747109286</v>
      </c>
      <c r="AU79" s="32">
        <f t="shared" si="126"/>
        <v>61223155.093004182</v>
      </c>
      <c r="AV79" s="32">
        <f t="shared" si="126"/>
        <v>62462281.767617695</v>
      </c>
      <c r="AW79" s="43"/>
    </row>
    <row r="80" spans="1:50" s="110" customFormat="1">
      <c r="A80" s="169"/>
      <c r="B80" s="169"/>
      <c r="C80" s="9" t="s">
        <v>147</v>
      </c>
      <c r="D80" s="30">
        <f t="shared" ref="D80:O80" si="127">D78-D46</f>
        <v>-879630.8940383736</v>
      </c>
      <c r="E80" s="30">
        <f t="shared" si="127"/>
        <v>-839543.91124548228</v>
      </c>
      <c r="F80" s="30">
        <f t="shared" si="127"/>
        <v>-434024.10769280256</v>
      </c>
      <c r="G80" s="30">
        <f t="shared" si="127"/>
        <v>-55843.921556620859</v>
      </c>
      <c r="H80" s="30">
        <f>H78-H46</f>
        <v>1966514.9662809502</v>
      </c>
      <c r="I80" s="30">
        <f t="shared" si="127"/>
        <v>2687244.2480313722</v>
      </c>
      <c r="J80" s="30">
        <f t="shared" si="127"/>
        <v>3042088.0360571481</v>
      </c>
      <c r="K80" s="30">
        <f t="shared" si="127"/>
        <v>1387641.0378409764</v>
      </c>
      <c r="L80" s="66">
        <f t="shared" si="127"/>
        <v>364020.34455328807</v>
      </c>
      <c r="M80" s="30">
        <f t="shared" si="127"/>
        <v>-814397.12945959484</v>
      </c>
      <c r="N80" s="30">
        <f t="shared" si="127"/>
        <v>-1201943.2837353689</v>
      </c>
      <c r="O80" s="30">
        <f t="shared" si="127"/>
        <v>-907922.4828881966</v>
      </c>
      <c r="P80" s="169">
        <f>SUM(D80:O80)</f>
        <v>4314202.9021472959</v>
      </c>
      <c r="Q80" s="169"/>
      <c r="R80" s="169"/>
      <c r="S80" s="169"/>
      <c r="T80" s="9" t="s">
        <v>147</v>
      </c>
      <c r="U80" s="30">
        <f t="shared" ref="U80:AF80" si="128">U78-U46</f>
        <v>-1113571.3149448223</v>
      </c>
      <c r="V80" s="30">
        <f t="shared" si="128"/>
        <v>-1117654.5000221664</v>
      </c>
      <c r="W80" s="30">
        <f t="shared" si="128"/>
        <v>-974397.21952327224</v>
      </c>
      <c r="X80" s="30">
        <f t="shared" si="128"/>
        <v>-434767.64088888885</v>
      </c>
      <c r="Y80" s="30">
        <f t="shared" si="128"/>
        <v>225573.87289756909</v>
      </c>
      <c r="Z80" s="30">
        <f t="shared" si="128"/>
        <v>777351.70981125347</v>
      </c>
      <c r="AA80" s="30">
        <f t="shared" si="128"/>
        <v>999503.14308711886</v>
      </c>
      <c r="AB80" s="30">
        <f t="shared" si="128"/>
        <v>536074.60226681456</v>
      </c>
      <c r="AC80" s="66">
        <f t="shared" si="128"/>
        <v>85392.863310972229</v>
      </c>
      <c r="AD80" s="30">
        <f t="shared" si="128"/>
        <v>-460911.29878475051</v>
      </c>
      <c r="AE80" s="30">
        <f t="shared" si="128"/>
        <v>-905622.96681176312</v>
      </c>
      <c r="AF80" s="30">
        <f t="shared" si="128"/>
        <v>-1139612.5673981707</v>
      </c>
      <c r="AG80" s="169">
        <f>SUM(U80:AF80)</f>
        <v>-3522641.317000106</v>
      </c>
      <c r="AH80" s="169"/>
      <c r="AI80" s="169"/>
      <c r="AJ80" s="9" t="s">
        <v>147</v>
      </c>
      <c r="AK80" s="30">
        <f t="shared" ref="AK80:AV80" si="129">AK78-AK46</f>
        <v>-1183019.1289644311</v>
      </c>
      <c r="AL80" s="30">
        <f t="shared" si="129"/>
        <v>-1188690.2506982069</v>
      </c>
      <c r="AM80" s="30">
        <f t="shared" si="129"/>
        <v>-1133933.6291077477</v>
      </c>
      <c r="AN80" s="30">
        <f t="shared" si="129"/>
        <v>-812576.14914683811</v>
      </c>
      <c r="AO80" s="30">
        <f t="shared" si="129"/>
        <v>-501522.73057110608</v>
      </c>
      <c r="AP80" s="30">
        <f t="shared" si="129"/>
        <v>4752.741874717176</v>
      </c>
      <c r="AQ80" s="30">
        <f t="shared" si="129"/>
        <v>90276.457245530561</v>
      </c>
      <c r="AR80" s="30">
        <f t="shared" si="129"/>
        <v>-196989.05791736022</v>
      </c>
      <c r="AS80" s="66">
        <f t="shared" si="129"/>
        <v>-578461.66001399886</v>
      </c>
      <c r="AT80" s="30">
        <f t="shared" si="129"/>
        <v>-814128.24340676144</v>
      </c>
      <c r="AU80" s="30">
        <f t="shared" si="129"/>
        <v>-1119018.186074771</v>
      </c>
      <c r="AV80" s="30">
        <f t="shared" si="129"/>
        <v>-1271566.6477199856</v>
      </c>
      <c r="AW80" s="169">
        <f>SUM(AK80:AV80)</f>
        <v>-8704876.4845009595</v>
      </c>
      <c r="AX80" s="30"/>
    </row>
    <row r="81" spans="1:50" s="110" customFormat="1">
      <c r="A81" s="169"/>
      <c r="B81" s="169" t="s">
        <v>253</v>
      </c>
      <c r="C81" s="9" t="s">
        <v>629</v>
      </c>
      <c r="D81" s="30">
        <f>D80</f>
        <v>-879630.8940383736</v>
      </c>
      <c r="E81" s="30">
        <f t="shared" ref="E81:O81" si="130">D81+E80</f>
        <v>-1719174.8052838559</v>
      </c>
      <c r="F81" s="30">
        <f t="shared" si="130"/>
        <v>-2153198.9129766584</v>
      </c>
      <c r="G81" s="30">
        <f t="shared" si="130"/>
        <v>-2209042.8345332793</v>
      </c>
      <c r="H81" s="30">
        <f t="shared" si="130"/>
        <v>-242527.86825232906</v>
      </c>
      <c r="I81" s="30">
        <f t="shared" si="130"/>
        <v>2444716.3797790431</v>
      </c>
      <c r="J81" s="30">
        <f t="shared" si="130"/>
        <v>5486804.4158361908</v>
      </c>
      <c r="K81" s="30">
        <f t="shared" si="130"/>
        <v>6874445.4536771672</v>
      </c>
      <c r="L81" s="66">
        <f t="shared" si="130"/>
        <v>7238465.7982304553</v>
      </c>
      <c r="M81" s="30">
        <f t="shared" si="130"/>
        <v>6424068.6687708609</v>
      </c>
      <c r="N81" s="30">
        <f t="shared" si="130"/>
        <v>5222125.3850354925</v>
      </c>
      <c r="O81" s="30">
        <f t="shared" si="130"/>
        <v>4314202.9021472959</v>
      </c>
      <c r="P81" s="169"/>
      <c r="Q81" s="169"/>
      <c r="R81" s="169"/>
      <c r="S81" s="169" t="s">
        <v>253</v>
      </c>
      <c r="T81" s="9" t="s">
        <v>148</v>
      </c>
      <c r="U81" s="30">
        <f>U80</f>
        <v>-1113571.3149448223</v>
      </c>
      <c r="V81" s="30">
        <f t="shared" ref="V81:AF81" si="131">U81+V80</f>
        <v>-2231225.8149669887</v>
      </c>
      <c r="W81" s="30">
        <f t="shared" si="131"/>
        <v>-3205623.0344902612</v>
      </c>
      <c r="X81" s="30">
        <f t="shared" si="131"/>
        <v>-3640390.6753791501</v>
      </c>
      <c r="Y81" s="30">
        <f t="shared" si="131"/>
        <v>-3414816.802481581</v>
      </c>
      <c r="Z81" s="30">
        <f t="shared" si="131"/>
        <v>-2637465.0926703275</v>
      </c>
      <c r="AA81" s="30">
        <f t="shared" si="131"/>
        <v>-1637961.9495832087</v>
      </c>
      <c r="AB81" s="30">
        <f t="shared" si="131"/>
        <v>-1101887.3473163941</v>
      </c>
      <c r="AC81" s="66">
        <f t="shared" si="131"/>
        <v>-1016494.4840054219</v>
      </c>
      <c r="AD81" s="30">
        <f t="shared" si="131"/>
        <v>-1477405.7827901724</v>
      </c>
      <c r="AE81" s="30">
        <f t="shared" si="131"/>
        <v>-2383028.7496019355</v>
      </c>
      <c r="AF81" s="30">
        <f t="shared" si="131"/>
        <v>-3522641.317000106</v>
      </c>
      <c r="AG81" s="169"/>
      <c r="AH81" s="169"/>
      <c r="AI81" s="169" t="s">
        <v>253</v>
      </c>
      <c r="AJ81" s="9" t="s">
        <v>148</v>
      </c>
      <c r="AK81" s="30">
        <f>AK80</f>
        <v>-1183019.1289644311</v>
      </c>
      <c r="AL81" s="30">
        <f t="shared" ref="AL81:AV81" si="132">AK81+AL80</f>
        <v>-2371709.3796626381</v>
      </c>
      <c r="AM81" s="30">
        <f t="shared" si="132"/>
        <v>-3505643.0087703858</v>
      </c>
      <c r="AN81" s="30">
        <f t="shared" si="132"/>
        <v>-4318219.1579172239</v>
      </c>
      <c r="AO81" s="30">
        <f t="shared" si="132"/>
        <v>-4819741.8884883299</v>
      </c>
      <c r="AP81" s="30">
        <f t="shared" si="132"/>
        <v>-4814989.1466136128</v>
      </c>
      <c r="AQ81" s="30">
        <f t="shared" si="132"/>
        <v>-4724712.6893680822</v>
      </c>
      <c r="AR81" s="30">
        <f t="shared" si="132"/>
        <v>-4921701.7472854424</v>
      </c>
      <c r="AS81" s="66">
        <f t="shared" si="132"/>
        <v>-5500163.4072994413</v>
      </c>
      <c r="AT81" s="30">
        <f t="shared" si="132"/>
        <v>-6314291.6507062027</v>
      </c>
      <c r="AU81" s="30">
        <f t="shared" si="132"/>
        <v>-7433309.8367809737</v>
      </c>
      <c r="AV81" s="30">
        <f t="shared" si="132"/>
        <v>-8704876.4845009595</v>
      </c>
      <c r="AW81" s="169"/>
      <c r="AX81" s="30"/>
    </row>
    <row r="82" spans="1:50">
      <c r="A82" s="16"/>
      <c r="B82" s="146">
        <v>1.08</v>
      </c>
      <c r="C82" s="170" t="s">
        <v>133</v>
      </c>
      <c r="D82" s="146">
        <f t="shared" ref="D82:O82" si="133">D76-$B$82</f>
        <v>6.27</v>
      </c>
      <c r="E82" s="146">
        <f t="shared" si="133"/>
        <v>6.27</v>
      </c>
      <c r="F82" s="146">
        <f t="shared" si="133"/>
        <v>6.27</v>
      </c>
      <c r="G82" s="146">
        <f t="shared" si="133"/>
        <v>6.27</v>
      </c>
      <c r="H82" s="146">
        <f t="shared" si="133"/>
        <v>6.27</v>
      </c>
      <c r="I82" s="146">
        <f t="shared" si="133"/>
        <v>5.87</v>
      </c>
      <c r="J82" s="146">
        <f t="shared" si="133"/>
        <v>5.87</v>
      </c>
      <c r="K82" s="146">
        <f t="shared" si="133"/>
        <v>5.42</v>
      </c>
      <c r="L82" s="146">
        <f t="shared" si="133"/>
        <v>5.42</v>
      </c>
      <c r="M82" s="146">
        <f t="shared" si="133"/>
        <v>5.42</v>
      </c>
      <c r="N82" s="146">
        <f t="shared" si="133"/>
        <v>5.42</v>
      </c>
      <c r="O82" s="146">
        <f t="shared" si="133"/>
        <v>5.42</v>
      </c>
      <c r="P82" s="34">
        <f>P83/P9</f>
        <v>5.8030121593790156</v>
      </c>
      <c r="Q82" s="16"/>
      <c r="R82" s="16"/>
      <c r="S82" s="146">
        <v>1.08</v>
      </c>
      <c r="T82" s="170" t="s">
        <v>133</v>
      </c>
      <c r="U82" s="146">
        <f>U76-$S$82</f>
        <v>5.42</v>
      </c>
      <c r="V82" s="146">
        <f t="shared" ref="V82:AF82" si="134">V76-$S$82</f>
        <v>5.42</v>
      </c>
      <c r="W82" s="146">
        <f t="shared" si="134"/>
        <v>5.42</v>
      </c>
      <c r="X82" s="146">
        <f t="shared" si="134"/>
        <v>5.42</v>
      </c>
      <c r="Y82" s="146">
        <f t="shared" si="134"/>
        <v>5.42</v>
      </c>
      <c r="Z82" s="146">
        <f t="shared" si="134"/>
        <v>5.42</v>
      </c>
      <c r="AA82" s="146">
        <f t="shared" si="134"/>
        <v>5.42</v>
      </c>
      <c r="AB82" s="146">
        <f t="shared" si="134"/>
        <v>5.42</v>
      </c>
      <c r="AC82" s="146">
        <f t="shared" si="134"/>
        <v>5.42</v>
      </c>
      <c r="AD82" s="146">
        <f t="shared" si="134"/>
        <v>5.42</v>
      </c>
      <c r="AE82" s="146">
        <f t="shared" si="134"/>
        <v>5.42</v>
      </c>
      <c r="AF82" s="146">
        <f t="shared" si="134"/>
        <v>5.42</v>
      </c>
      <c r="AG82" s="16">
        <f>AG83/AG9</f>
        <v>5.42</v>
      </c>
      <c r="AH82" s="16"/>
      <c r="AI82" s="146">
        <v>1.08</v>
      </c>
      <c r="AJ82" s="170" t="s">
        <v>133</v>
      </c>
      <c r="AK82" s="146">
        <f>AK76-$S$82</f>
        <v>5.42</v>
      </c>
      <c r="AL82" s="146">
        <f t="shared" ref="AL82:AV82" si="135">AL76-$S$82</f>
        <v>5.42</v>
      </c>
      <c r="AM82" s="146">
        <f t="shared" si="135"/>
        <v>5.42</v>
      </c>
      <c r="AN82" s="146">
        <f t="shared" si="135"/>
        <v>5.42</v>
      </c>
      <c r="AO82" s="146">
        <f t="shared" si="135"/>
        <v>5.42</v>
      </c>
      <c r="AP82" s="146">
        <f t="shared" si="135"/>
        <v>5.42</v>
      </c>
      <c r="AQ82" s="146">
        <f t="shared" si="135"/>
        <v>5.42</v>
      </c>
      <c r="AR82" s="146">
        <f t="shared" si="135"/>
        <v>5.42</v>
      </c>
      <c r="AS82" s="146">
        <f t="shared" si="135"/>
        <v>5.42</v>
      </c>
      <c r="AT82" s="146">
        <f t="shared" si="135"/>
        <v>5.42</v>
      </c>
      <c r="AU82" s="146">
        <f t="shared" si="135"/>
        <v>5.42</v>
      </c>
      <c r="AV82" s="146">
        <f t="shared" si="135"/>
        <v>5.42</v>
      </c>
      <c r="AW82" s="16">
        <f>AW83/AW9</f>
        <v>5.42</v>
      </c>
    </row>
    <row r="83" spans="1:50">
      <c r="A83" s="43"/>
      <c r="B83" s="34">
        <f>D76-B82</f>
        <v>6.27</v>
      </c>
      <c r="C83" s="2" t="s">
        <v>140</v>
      </c>
      <c r="D83" s="32">
        <f t="shared" ref="D83:O83" si="136">D82*D9</f>
        <v>359145.6</v>
      </c>
      <c r="E83" s="32">
        <f t="shared" si="136"/>
        <v>381434.196</v>
      </c>
      <c r="F83" s="32">
        <f t="shared" si="136"/>
        <v>411675.66</v>
      </c>
      <c r="G83" s="32">
        <f t="shared" si="136"/>
        <v>585191.64</v>
      </c>
      <c r="H83" s="32">
        <f t="shared" si="136"/>
        <v>1020175.3979999999</v>
      </c>
      <c r="I83" s="32">
        <f t="shared" si="136"/>
        <v>1609161.8840000001</v>
      </c>
      <c r="J83" s="32">
        <f t="shared" si="136"/>
        <v>1612386.862</v>
      </c>
      <c r="K83" s="32">
        <f t="shared" si="136"/>
        <v>1035367.9659999999</v>
      </c>
      <c r="L83" s="39">
        <f t="shared" si="136"/>
        <v>1006936.814</v>
      </c>
      <c r="M83" s="32">
        <f t="shared" si="136"/>
        <v>578052.75600000005</v>
      </c>
      <c r="N83" s="32">
        <f t="shared" si="136"/>
        <v>465908.07799999998</v>
      </c>
      <c r="O83" s="32">
        <f t="shared" si="136"/>
        <v>340409.06199999998</v>
      </c>
      <c r="P83" s="43">
        <f>SUM(D83:O83)</f>
        <v>9405845.9160000011</v>
      </c>
      <c r="Q83" s="43"/>
      <c r="R83" s="43"/>
      <c r="S83" s="43"/>
      <c r="T83" s="2" t="s">
        <v>140</v>
      </c>
      <c r="U83" s="32">
        <f t="shared" ref="U83:AF83" si="137">U82*U9</f>
        <v>388210.21</v>
      </c>
      <c r="V83" s="32">
        <f t="shared" si="137"/>
        <v>388210.21</v>
      </c>
      <c r="W83" s="32">
        <f t="shared" si="137"/>
        <v>404010.6753</v>
      </c>
      <c r="X83" s="32">
        <f t="shared" si="137"/>
        <v>624238.33750000002</v>
      </c>
      <c r="Y83" s="32">
        <f t="shared" si="137"/>
        <v>868723.83299999998</v>
      </c>
      <c r="Z83" s="32">
        <f t="shared" si="137"/>
        <v>1172872.6071999997</v>
      </c>
      <c r="AA83" s="32">
        <f t="shared" si="137"/>
        <v>1303999.3446999998</v>
      </c>
      <c r="AB83" s="32">
        <f t="shared" si="137"/>
        <v>1090196.2794999999</v>
      </c>
      <c r="AC83" s="39">
        <f t="shared" si="137"/>
        <v>942089.54920000001</v>
      </c>
      <c r="AD83" s="32">
        <f t="shared" si="137"/>
        <v>642136.83059999999</v>
      </c>
      <c r="AE83" s="32">
        <f t="shared" si="137"/>
        <v>472131.32200000004</v>
      </c>
      <c r="AF83" s="32">
        <f t="shared" si="137"/>
        <v>375687.3</v>
      </c>
      <c r="AG83" s="43">
        <f>SUM(U83:AF83)</f>
        <v>8672506.4989999998</v>
      </c>
      <c r="AH83" s="43"/>
      <c r="AI83" s="43"/>
      <c r="AJ83" s="2" t="s">
        <v>140</v>
      </c>
      <c r="AK83" s="32">
        <f t="shared" ref="AK83:AV83" si="138">AK82*AK9</f>
        <v>388210.21</v>
      </c>
      <c r="AL83" s="32">
        <f t="shared" si="138"/>
        <v>388210.21</v>
      </c>
      <c r="AM83" s="32">
        <f t="shared" si="138"/>
        <v>404010.6753</v>
      </c>
      <c r="AN83" s="32">
        <f t="shared" si="138"/>
        <v>624238.33750000002</v>
      </c>
      <c r="AO83" s="32">
        <f t="shared" si="138"/>
        <v>868723.83299999998</v>
      </c>
      <c r="AP83" s="32">
        <f t="shared" si="138"/>
        <v>1172872.6071999997</v>
      </c>
      <c r="AQ83" s="32">
        <f t="shared" si="138"/>
        <v>1303999.3446999998</v>
      </c>
      <c r="AR83" s="32">
        <f t="shared" si="138"/>
        <v>1090196.2794999999</v>
      </c>
      <c r="AS83" s="39">
        <f t="shared" si="138"/>
        <v>942089.54920000001</v>
      </c>
      <c r="AT83" s="32">
        <f t="shared" si="138"/>
        <v>642136.83059999999</v>
      </c>
      <c r="AU83" s="32">
        <f t="shared" si="138"/>
        <v>472131.32200000004</v>
      </c>
      <c r="AV83" s="32">
        <f t="shared" si="138"/>
        <v>375687.3</v>
      </c>
      <c r="AW83" s="43">
        <f>SUM(AK83:AV83)</f>
        <v>8672506.4989999998</v>
      </c>
    </row>
    <row r="84" spans="1:50">
      <c r="A84" s="43"/>
      <c r="B84" s="43"/>
      <c r="C84" s="2" t="s">
        <v>630</v>
      </c>
      <c r="D84" s="32">
        <f>D83</f>
        <v>359145.6</v>
      </c>
      <c r="E84" s="32">
        <f t="shared" ref="E84:O84" si="139">D84+E83</f>
        <v>740579.79599999997</v>
      </c>
      <c r="F84" s="32">
        <f t="shared" si="139"/>
        <v>1152255.456</v>
      </c>
      <c r="G84" s="32">
        <f t="shared" si="139"/>
        <v>1737447.0959999999</v>
      </c>
      <c r="H84" s="32">
        <f t="shared" si="139"/>
        <v>2757622.4939999999</v>
      </c>
      <c r="I84" s="32">
        <f t="shared" si="139"/>
        <v>4366784.3780000005</v>
      </c>
      <c r="J84" s="32">
        <f t="shared" si="139"/>
        <v>5979171.2400000002</v>
      </c>
      <c r="K84" s="32">
        <f t="shared" si="139"/>
        <v>7014539.2060000002</v>
      </c>
      <c r="L84" s="39">
        <f t="shared" si="139"/>
        <v>8021476.0200000005</v>
      </c>
      <c r="M84" s="32">
        <f t="shared" si="139"/>
        <v>8599528.7760000005</v>
      </c>
      <c r="N84" s="32">
        <f t="shared" si="139"/>
        <v>9065436.8540000003</v>
      </c>
      <c r="O84" s="32">
        <f t="shared" si="139"/>
        <v>9405845.9160000011</v>
      </c>
      <c r="P84" s="43"/>
      <c r="Q84" s="43"/>
      <c r="R84" s="43"/>
      <c r="S84" s="43"/>
      <c r="T84" s="2" t="s">
        <v>141</v>
      </c>
      <c r="U84" s="32">
        <f>U83</f>
        <v>388210.21</v>
      </c>
      <c r="V84" s="32">
        <f t="shared" ref="V84:AF84" si="140">U84+V83</f>
        <v>776420.42</v>
      </c>
      <c r="W84" s="32">
        <f t="shared" si="140"/>
        <v>1180431.0953000002</v>
      </c>
      <c r="X84" s="32">
        <f t="shared" si="140"/>
        <v>1804669.4328000001</v>
      </c>
      <c r="Y84" s="32">
        <f t="shared" si="140"/>
        <v>2673393.2658000002</v>
      </c>
      <c r="Z84" s="32">
        <f t="shared" si="140"/>
        <v>3846265.8729999997</v>
      </c>
      <c r="AA84" s="32">
        <f t="shared" si="140"/>
        <v>5150265.217699999</v>
      </c>
      <c r="AB84" s="32">
        <f t="shared" si="140"/>
        <v>6240461.4971999992</v>
      </c>
      <c r="AC84" s="39">
        <f t="shared" si="140"/>
        <v>7182551.0463999994</v>
      </c>
      <c r="AD84" s="32">
        <f t="shared" si="140"/>
        <v>7824687.8769999994</v>
      </c>
      <c r="AE84" s="32">
        <f t="shared" si="140"/>
        <v>8296819.1989999991</v>
      </c>
      <c r="AF84" s="32">
        <f t="shared" si="140"/>
        <v>8672506.4989999998</v>
      </c>
      <c r="AG84" s="43"/>
      <c r="AH84" s="43"/>
      <c r="AI84" s="43"/>
      <c r="AJ84" s="2" t="s">
        <v>141</v>
      </c>
      <c r="AK84" s="32">
        <f>AK83</f>
        <v>388210.21</v>
      </c>
      <c r="AL84" s="32">
        <f t="shared" ref="AL84:AV84" si="141">AK84+AL83</f>
        <v>776420.42</v>
      </c>
      <c r="AM84" s="32">
        <f t="shared" si="141"/>
        <v>1180431.0953000002</v>
      </c>
      <c r="AN84" s="32">
        <f t="shared" si="141"/>
        <v>1804669.4328000001</v>
      </c>
      <c r="AO84" s="32">
        <f t="shared" si="141"/>
        <v>2673393.2658000002</v>
      </c>
      <c r="AP84" s="32">
        <f t="shared" si="141"/>
        <v>3846265.8729999997</v>
      </c>
      <c r="AQ84" s="32">
        <f t="shared" si="141"/>
        <v>5150265.217699999</v>
      </c>
      <c r="AR84" s="32">
        <f t="shared" si="141"/>
        <v>6240461.4971999992</v>
      </c>
      <c r="AS84" s="39">
        <f t="shared" si="141"/>
        <v>7182551.0463999994</v>
      </c>
      <c r="AT84" s="32">
        <f t="shared" si="141"/>
        <v>7824687.8769999994</v>
      </c>
      <c r="AU84" s="32">
        <f t="shared" si="141"/>
        <v>8296819.1989999991</v>
      </c>
      <c r="AV84" s="32">
        <f t="shared" si="141"/>
        <v>8672506.4989999998</v>
      </c>
      <c r="AW84" s="43"/>
    </row>
    <row r="85" spans="1:50" s="110" customFormat="1">
      <c r="A85" s="169"/>
      <c r="B85" s="169"/>
      <c r="C85" s="9" t="s">
        <v>215</v>
      </c>
      <c r="D85" s="30">
        <f t="shared" ref="D85:O85" si="142">D83-D51</f>
        <v>71196.140340158949</v>
      </c>
      <c r="E85" s="30">
        <f t="shared" si="142"/>
        <v>77266.538399624813</v>
      </c>
      <c r="F85" s="30">
        <f t="shared" si="142"/>
        <v>197991.87510909798</v>
      </c>
      <c r="G85" s="30">
        <f t="shared" si="142"/>
        <v>222438.40249061969</v>
      </c>
      <c r="H85" s="30">
        <f t="shared" si="142"/>
        <v>371683.99115550274</v>
      </c>
      <c r="I85" s="30">
        <f t="shared" si="142"/>
        <v>200898.84390167752</v>
      </c>
      <c r="J85" s="30">
        <f t="shared" si="142"/>
        <v>247237.39701578813</v>
      </c>
      <c r="K85" s="30">
        <f t="shared" si="142"/>
        <v>167253.84268709191</v>
      </c>
      <c r="L85" s="66">
        <f t="shared" si="142"/>
        <v>97235.561423325329</v>
      </c>
      <c r="M85" s="30">
        <f t="shared" si="142"/>
        <v>-14327.256602682057</v>
      </c>
      <c r="N85" s="30">
        <f t="shared" si="142"/>
        <v>-27517.780035826378</v>
      </c>
      <c r="O85" s="30">
        <f t="shared" si="142"/>
        <v>77431.72443029948</v>
      </c>
      <c r="P85" s="169">
        <f>SUM(D85:O85)</f>
        <v>1688789.2803146779</v>
      </c>
      <c r="Q85" s="169"/>
      <c r="R85" s="169"/>
      <c r="S85" s="169"/>
      <c r="T85" s="9" t="s">
        <v>215</v>
      </c>
      <c r="U85" s="30">
        <f t="shared" ref="U85:AF85" si="143">U83-U51</f>
        <v>43870.247239831486</v>
      </c>
      <c r="V85" s="30">
        <f t="shared" si="143"/>
        <v>42372.878047638282</v>
      </c>
      <c r="W85" s="30">
        <f t="shared" si="143"/>
        <v>66044.552964130067</v>
      </c>
      <c r="X85" s="30">
        <f t="shared" si="143"/>
        <v>91422.606299748993</v>
      </c>
      <c r="Y85" s="30">
        <f t="shared" si="143"/>
        <v>107773.03878700361</v>
      </c>
      <c r="Z85" s="30">
        <f t="shared" si="143"/>
        <v>96154.068032287993</v>
      </c>
      <c r="AA85" s="30">
        <f t="shared" si="143"/>
        <v>89601.702090830076</v>
      </c>
      <c r="AB85" s="30">
        <f t="shared" si="143"/>
        <v>76968.18217778625</v>
      </c>
      <c r="AC85" s="66">
        <f t="shared" si="143"/>
        <v>66556.085128365899</v>
      </c>
      <c r="AD85" s="30">
        <f t="shared" si="143"/>
        <v>48919.246394174988</v>
      </c>
      <c r="AE85" s="30">
        <f t="shared" si="143"/>
        <v>42599.314809092495</v>
      </c>
      <c r="AF85" s="30">
        <f t="shared" si="143"/>
        <v>36815.843985201907</v>
      </c>
      <c r="AG85" s="169">
        <f>SUM(U85:AF85)</f>
        <v>809097.76595609204</v>
      </c>
      <c r="AH85" s="169"/>
      <c r="AI85" s="169"/>
      <c r="AJ85" s="9" t="s">
        <v>215</v>
      </c>
      <c r="AK85" s="30">
        <f t="shared" ref="AK85:AV85" si="144">AK83-AK51</f>
        <v>17589.189825730457</v>
      </c>
      <c r="AL85" s="30">
        <f t="shared" si="144"/>
        <v>15527.165198470117</v>
      </c>
      <c r="AM85" s="30">
        <f t="shared" si="144"/>
        <v>15452.342109193327</v>
      </c>
      <c r="AN85" s="30">
        <f t="shared" si="144"/>
        <v>19016.58046229044</v>
      </c>
      <c r="AO85" s="30">
        <f t="shared" si="144"/>
        <v>-3826.9969867767068</v>
      </c>
      <c r="AP85" s="30">
        <f t="shared" si="144"/>
        <v>-11673.426225849893</v>
      </c>
      <c r="AQ85" s="30">
        <f t="shared" si="144"/>
        <v>-33232.486580295721</v>
      </c>
      <c r="AR85" s="30">
        <f t="shared" si="144"/>
        <v>-24317.52635574434</v>
      </c>
      <c r="AS85" s="66">
        <f t="shared" si="144"/>
        <v>-33259.909841047367</v>
      </c>
      <c r="AT85" s="30">
        <f t="shared" si="144"/>
        <v>-15578.804784273147</v>
      </c>
      <c r="AU85" s="30">
        <f t="shared" si="144"/>
        <v>-12259.663654796081</v>
      </c>
      <c r="AV85" s="30">
        <f t="shared" si="144"/>
        <v>-12111.422391149681</v>
      </c>
      <c r="AW85" s="169">
        <f>SUM(AK85:AV85)</f>
        <v>-78674.959224248596</v>
      </c>
      <c r="AX85" s="30"/>
    </row>
    <row r="86" spans="1:50" s="110" customFormat="1">
      <c r="A86" s="169"/>
      <c r="B86" s="169"/>
      <c r="C86" s="9" t="s">
        <v>631</v>
      </c>
      <c r="D86" s="30">
        <f>D85</f>
        <v>71196.140340158949</v>
      </c>
      <c r="E86" s="30">
        <f t="shared" ref="E86:O86" si="145">D86+E85</f>
        <v>148462.67873978376</v>
      </c>
      <c r="F86" s="30">
        <f t="shared" si="145"/>
        <v>346454.55384888174</v>
      </c>
      <c r="G86" s="30">
        <f t="shared" si="145"/>
        <v>568892.95633950143</v>
      </c>
      <c r="H86" s="30">
        <f t="shared" si="145"/>
        <v>940576.94749500416</v>
      </c>
      <c r="I86" s="30">
        <f t="shared" si="145"/>
        <v>1141475.7913966817</v>
      </c>
      <c r="J86" s="30">
        <f t="shared" si="145"/>
        <v>1388713.1884124698</v>
      </c>
      <c r="K86" s="30">
        <f t="shared" si="145"/>
        <v>1555967.0310995616</v>
      </c>
      <c r="L86" s="66">
        <f t="shared" si="145"/>
        <v>1653202.592522887</v>
      </c>
      <c r="M86" s="30">
        <f t="shared" si="145"/>
        <v>1638875.3359202049</v>
      </c>
      <c r="N86" s="30">
        <f t="shared" si="145"/>
        <v>1611357.5558843785</v>
      </c>
      <c r="O86" s="30">
        <f t="shared" si="145"/>
        <v>1688789.2803146779</v>
      </c>
      <c r="P86" s="169"/>
      <c r="Q86" s="169"/>
      <c r="R86" s="169"/>
      <c r="S86" s="169"/>
      <c r="T86" s="9" t="s">
        <v>146</v>
      </c>
      <c r="U86" s="30">
        <f>U85</f>
        <v>43870.247239831486</v>
      </c>
      <c r="V86" s="30">
        <f t="shared" ref="V86:AF86" si="146">U86+V85</f>
        <v>86243.125287469767</v>
      </c>
      <c r="W86" s="30">
        <f t="shared" si="146"/>
        <v>152287.67825159983</v>
      </c>
      <c r="X86" s="30">
        <f t="shared" si="146"/>
        <v>243710.28455134883</v>
      </c>
      <c r="Y86" s="30">
        <f t="shared" si="146"/>
        <v>351483.32333835243</v>
      </c>
      <c r="Z86" s="30">
        <f t="shared" si="146"/>
        <v>447637.39137064043</v>
      </c>
      <c r="AA86" s="30">
        <f t="shared" si="146"/>
        <v>537239.09346147045</v>
      </c>
      <c r="AB86" s="30">
        <f t="shared" si="146"/>
        <v>614207.2756392567</v>
      </c>
      <c r="AC86" s="66">
        <f t="shared" si="146"/>
        <v>680763.36076762259</v>
      </c>
      <c r="AD86" s="30">
        <f t="shared" si="146"/>
        <v>729682.60716179758</v>
      </c>
      <c r="AE86" s="30">
        <f t="shared" si="146"/>
        <v>772281.92197089014</v>
      </c>
      <c r="AF86" s="30">
        <f t="shared" si="146"/>
        <v>809097.76595609204</v>
      </c>
      <c r="AG86" s="169"/>
      <c r="AH86" s="169"/>
      <c r="AI86" s="169"/>
      <c r="AJ86" s="9" t="s">
        <v>146</v>
      </c>
      <c r="AK86" s="30">
        <f>AK85</f>
        <v>17589.189825730457</v>
      </c>
      <c r="AL86" s="30">
        <f t="shared" ref="AL86:AV86" si="147">AK86+AL85</f>
        <v>33116.355024200573</v>
      </c>
      <c r="AM86" s="30">
        <f t="shared" si="147"/>
        <v>48568.6971333939</v>
      </c>
      <c r="AN86" s="30">
        <f t="shared" si="147"/>
        <v>67585.27759568434</v>
      </c>
      <c r="AO86" s="30">
        <f t="shared" si="147"/>
        <v>63758.280608907633</v>
      </c>
      <c r="AP86" s="30">
        <f t="shared" si="147"/>
        <v>52084.85438305774</v>
      </c>
      <c r="AQ86" s="30">
        <f t="shared" si="147"/>
        <v>18852.367802762019</v>
      </c>
      <c r="AR86" s="30">
        <f t="shared" si="147"/>
        <v>-5465.1585529823205</v>
      </c>
      <c r="AS86" s="66">
        <f t="shared" si="147"/>
        <v>-38725.068394029688</v>
      </c>
      <c r="AT86" s="30">
        <f t="shared" si="147"/>
        <v>-54303.873178302834</v>
      </c>
      <c r="AU86" s="30">
        <f t="shared" si="147"/>
        <v>-66563.536833098915</v>
      </c>
      <c r="AV86" s="30">
        <f t="shared" si="147"/>
        <v>-78674.959224248596</v>
      </c>
      <c r="AW86" s="169"/>
      <c r="AX86" s="30"/>
    </row>
    <row r="87" spans="1:50">
      <c r="A87" s="43"/>
      <c r="B87" s="43"/>
      <c r="C87" s="2" t="s">
        <v>206</v>
      </c>
      <c r="D87" s="32">
        <f>SUM(D78,D83)</f>
        <v>1691706.48</v>
      </c>
      <c r="E87" s="32">
        <f t="shared" ref="E87:O87" si="148">SUM(E78,E83)</f>
        <v>1806883.6410000001</v>
      </c>
      <c r="F87" s="32">
        <f t="shared" si="148"/>
        <v>1986207.3599999999</v>
      </c>
      <c r="G87" s="32">
        <f t="shared" si="148"/>
        <v>3610385.4899999998</v>
      </c>
      <c r="H87" s="32">
        <f t="shared" si="148"/>
        <v>8515866.3629999999</v>
      </c>
      <c r="I87" s="32">
        <f t="shared" si="148"/>
        <v>17573902.634</v>
      </c>
      <c r="J87" s="32">
        <f t="shared" si="148"/>
        <v>17469238.592</v>
      </c>
      <c r="K87" s="32">
        <f t="shared" si="148"/>
        <v>10482709.116</v>
      </c>
      <c r="L87" s="39">
        <f t="shared" si="148"/>
        <v>8501125.4639999997</v>
      </c>
      <c r="M87" s="32">
        <f t="shared" si="148"/>
        <v>4013279.3560000001</v>
      </c>
      <c r="N87" s="32">
        <f t="shared" si="148"/>
        <v>2248460.9280000003</v>
      </c>
      <c r="O87" s="32">
        <f t="shared" si="148"/>
        <v>1739565.2620000001</v>
      </c>
      <c r="P87" s="43">
        <f>SUM(D87:O87)</f>
        <v>79639330.686000004</v>
      </c>
      <c r="Q87" s="43"/>
      <c r="R87" s="43"/>
      <c r="S87" s="43"/>
      <c r="T87" s="2" t="s">
        <v>206</v>
      </c>
      <c r="U87" s="32">
        <f>SUM(U78,U83)</f>
        <v>1657764.26041963</v>
      </c>
      <c r="V87" s="32">
        <f t="shared" ref="V87:AF87" si="149">SUM(V78,V83)</f>
        <v>1657764.26041963</v>
      </c>
      <c r="W87" s="32">
        <f t="shared" si="149"/>
        <v>1957069.9025060777</v>
      </c>
      <c r="X87" s="32">
        <f t="shared" si="149"/>
        <v>4597613.4983496033</v>
      </c>
      <c r="Y87" s="32">
        <f t="shared" si="149"/>
        <v>7745306.4020748679</v>
      </c>
      <c r="Z87" s="32">
        <f t="shared" si="149"/>
        <v>11431129.726960162</v>
      </c>
      <c r="AA87" s="32">
        <f t="shared" si="149"/>
        <v>13064379.303587923</v>
      </c>
      <c r="AB87" s="32">
        <f t="shared" si="149"/>
        <v>10708863.073204763</v>
      </c>
      <c r="AC87" s="39">
        <f t="shared" si="149"/>
        <v>8556610.4720952995</v>
      </c>
      <c r="AD87" s="32">
        <f t="shared" si="149"/>
        <v>4923051.1336620934</v>
      </c>
      <c r="AE87" s="32">
        <f t="shared" si="149"/>
        <v>2703043.9894613982</v>
      </c>
      <c r="AF87" s="32">
        <f t="shared" si="149"/>
        <v>1604287.9939544811</v>
      </c>
      <c r="AG87" s="43">
        <f>SUM(U87:AF87)</f>
        <v>70606884.016695917</v>
      </c>
      <c r="AH87" s="43"/>
      <c r="AI87" s="43"/>
      <c r="AJ87" s="2" t="s">
        <v>206</v>
      </c>
      <c r="AK87" s="32">
        <f>SUM(AK78,AK83)</f>
        <v>1668641.1071006274</v>
      </c>
      <c r="AL87" s="32">
        <f t="shared" ref="AL87:AV87" si="150">SUM(AL78,AL83)</f>
        <v>1668641.1071006274</v>
      </c>
      <c r="AM87" s="32">
        <f t="shared" si="150"/>
        <v>1970356.9138815769</v>
      </c>
      <c r="AN87" s="32">
        <f t="shared" si="150"/>
        <v>4631498.9343345147</v>
      </c>
      <c r="AO87" s="32">
        <f t="shared" si="150"/>
        <v>7803894.7692798506</v>
      </c>
      <c r="AP87" s="32">
        <f t="shared" si="150"/>
        <v>11518497.350527061</v>
      </c>
      <c r="AQ87" s="32">
        <f t="shared" si="150"/>
        <v>13164529.476768108</v>
      </c>
      <c r="AR87" s="32">
        <f t="shared" si="150"/>
        <v>10790780.901638789</v>
      </c>
      <c r="AS87" s="39">
        <f t="shared" si="150"/>
        <v>8621480.8083428163</v>
      </c>
      <c r="AT87" s="32">
        <f t="shared" si="150"/>
        <v>4959551.2551353201</v>
      </c>
      <c r="AU87" s="32">
        <f t="shared" si="150"/>
        <v>2722101.6678948984</v>
      </c>
      <c r="AV87" s="32">
        <f t="shared" si="150"/>
        <v>1614813.9746135105</v>
      </c>
      <c r="AW87" s="43">
        <f>SUM(AK87:AV87)</f>
        <v>71134788.2666177</v>
      </c>
    </row>
    <row r="88" spans="1:50">
      <c r="A88" s="43"/>
      <c r="B88" s="43"/>
      <c r="C88" s="2" t="s">
        <v>632</v>
      </c>
      <c r="D88" s="32">
        <f>D87</f>
        <v>1691706.48</v>
      </c>
      <c r="E88" s="32">
        <f t="shared" ref="E88:O88" si="151">E87+D88</f>
        <v>3498590.1210000003</v>
      </c>
      <c r="F88" s="32">
        <f t="shared" si="151"/>
        <v>5484797.4810000006</v>
      </c>
      <c r="G88" s="32">
        <f t="shared" si="151"/>
        <v>9095182.9710000008</v>
      </c>
      <c r="H88" s="32">
        <f t="shared" si="151"/>
        <v>17611049.333999999</v>
      </c>
      <c r="I88" s="32">
        <f t="shared" si="151"/>
        <v>35184951.967999995</v>
      </c>
      <c r="J88" s="32">
        <f t="shared" si="151"/>
        <v>52654190.559999995</v>
      </c>
      <c r="K88" s="32">
        <f t="shared" si="151"/>
        <v>63136899.675999999</v>
      </c>
      <c r="L88" s="39">
        <f t="shared" si="151"/>
        <v>71638025.140000001</v>
      </c>
      <c r="M88" s="32">
        <f t="shared" si="151"/>
        <v>75651304.496000007</v>
      </c>
      <c r="N88" s="32">
        <f t="shared" si="151"/>
        <v>77899765.42400001</v>
      </c>
      <c r="O88" s="32">
        <f t="shared" si="151"/>
        <v>79639330.686000004</v>
      </c>
      <c r="P88" s="43"/>
      <c r="Q88" s="43"/>
      <c r="R88" s="43"/>
      <c r="S88" s="43"/>
      <c r="T88" s="2" t="s">
        <v>207</v>
      </c>
      <c r="U88" s="32">
        <f>U87</f>
        <v>1657764.26041963</v>
      </c>
      <c r="V88" s="32">
        <f t="shared" ref="V88:AF88" si="152">V87+U88</f>
        <v>3315528.52083926</v>
      </c>
      <c r="W88" s="32">
        <f t="shared" si="152"/>
        <v>5272598.4233453376</v>
      </c>
      <c r="X88" s="32">
        <f t="shared" si="152"/>
        <v>9870211.9216949418</v>
      </c>
      <c r="Y88" s="32">
        <f t="shared" si="152"/>
        <v>17615518.323769808</v>
      </c>
      <c r="Z88" s="32">
        <f t="shared" si="152"/>
        <v>29046648.050729968</v>
      </c>
      <c r="AA88" s="32">
        <f t="shared" si="152"/>
        <v>42111027.354317889</v>
      </c>
      <c r="AB88" s="32">
        <f t="shared" si="152"/>
        <v>52819890.427522652</v>
      </c>
      <c r="AC88" s="39">
        <f t="shared" si="152"/>
        <v>61376500.899617955</v>
      </c>
      <c r="AD88" s="32">
        <f t="shared" si="152"/>
        <v>66299552.033280045</v>
      </c>
      <c r="AE88" s="32">
        <f t="shared" si="152"/>
        <v>69002596.022741437</v>
      </c>
      <c r="AF88" s="32">
        <f t="shared" si="152"/>
        <v>70606884.016695917</v>
      </c>
      <c r="AG88" s="43"/>
      <c r="AH88" s="43"/>
      <c r="AI88" s="43"/>
      <c r="AJ88" s="2" t="s">
        <v>207</v>
      </c>
      <c r="AK88" s="32">
        <f>AK87</f>
        <v>1668641.1071006274</v>
      </c>
      <c r="AL88" s="32">
        <f t="shared" ref="AL88:AV88" si="153">AL87+AK88</f>
        <v>3337282.2142012548</v>
      </c>
      <c r="AM88" s="32">
        <f t="shared" si="153"/>
        <v>5307639.1280828314</v>
      </c>
      <c r="AN88" s="32">
        <f t="shared" si="153"/>
        <v>9939138.062417347</v>
      </c>
      <c r="AO88" s="32">
        <f t="shared" si="153"/>
        <v>17743032.831697196</v>
      </c>
      <c r="AP88" s="32">
        <f t="shared" si="153"/>
        <v>29261530.182224259</v>
      </c>
      <c r="AQ88" s="32">
        <f t="shared" si="153"/>
        <v>42426059.658992365</v>
      </c>
      <c r="AR88" s="32">
        <f t="shared" si="153"/>
        <v>53216840.560631156</v>
      </c>
      <c r="AS88" s="39">
        <f t="shared" si="153"/>
        <v>61838321.36897397</v>
      </c>
      <c r="AT88" s="32">
        <f t="shared" si="153"/>
        <v>66797872.624109291</v>
      </c>
      <c r="AU88" s="32">
        <f t="shared" si="153"/>
        <v>69519974.292004183</v>
      </c>
      <c r="AV88" s="32">
        <f t="shared" si="153"/>
        <v>71134788.2666177</v>
      </c>
      <c r="AW88" s="43"/>
    </row>
    <row r="89" spans="1:50">
      <c r="B89" s="13"/>
      <c r="C89" s="2" t="s">
        <v>216</v>
      </c>
      <c r="D89" s="30">
        <f>D87-D57</f>
        <v>-930597.63369821431</v>
      </c>
      <c r="E89" s="30">
        <f t="shared" ref="E89:O89" si="154">E87-E57</f>
        <v>-965290.25284585753</v>
      </c>
      <c r="F89" s="30">
        <f t="shared" si="154"/>
        <v>-317827.50258370442</v>
      </c>
      <c r="G89" s="30">
        <f t="shared" si="154"/>
        <v>159673.31093399925</v>
      </c>
      <c r="H89" s="30">
        <f t="shared" si="154"/>
        <v>2295180.9274364533</v>
      </c>
      <c r="I89" s="30">
        <f t="shared" si="154"/>
        <v>5143681.6919330489</v>
      </c>
      <c r="J89" s="30">
        <f t="shared" si="154"/>
        <v>3296604.7330729365</v>
      </c>
      <c r="K89" s="30">
        <f t="shared" si="154"/>
        <v>1554894.8805280682</v>
      </c>
      <c r="L89" s="30">
        <f t="shared" si="154"/>
        <v>421255.90597661398</v>
      </c>
      <c r="M89" s="30">
        <f t="shared" si="154"/>
        <v>-983724.38606227702</v>
      </c>
      <c r="N89" s="30">
        <f t="shared" si="154"/>
        <v>-1414461.0637711952</v>
      </c>
      <c r="O89" s="30">
        <f t="shared" si="154"/>
        <v>-1020490.7584578972</v>
      </c>
      <c r="P89" s="169">
        <f>SUM(D89:O89)</f>
        <v>7238899.8524619732</v>
      </c>
      <c r="Q89" s="43"/>
      <c r="R89" s="43"/>
      <c r="S89" s="43"/>
      <c r="T89" s="2" t="s">
        <v>216</v>
      </c>
      <c r="U89" s="30">
        <f>U87-U57</f>
        <v>-1269701.067704991</v>
      </c>
      <c r="V89" s="30">
        <f t="shared" ref="V89:AF89" si="155">V87-V57</f>
        <v>-1295281.6219745283</v>
      </c>
      <c r="W89" s="30">
        <f t="shared" si="155"/>
        <v>-1008352.6665591421</v>
      </c>
      <c r="X89" s="30">
        <f t="shared" si="155"/>
        <v>-403345.03458913974</v>
      </c>
      <c r="Y89" s="30">
        <f t="shared" si="155"/>
        <v>303346.9116845727</v>
      </c>
      <c r="Z89" s="30">
        <f t="shared" si="155"/>
        <v>873505.7778435424</v>
      </c>
      <c r="AA89" s="30">
        <f t="shared" si="155"/>
        <v>1089104.8451779485</v>
      </c>
      <c r="AB89" s="30">
        <f t="shared" si="155"/>
        <v>613042.78444460221</v>
      </c>
      <c r="AC89" s="30">
        <f t="shared" si="155"/>
        <v>111948.94843933918</v>
      </c>
      <c r="AD89" s="30">
        <f t="shared" si="155"/>
        <v>-566992.05239057541</v>
      </c>
      <c r="AE89" s="30">
        <f t="shared" si="155"/>
        <v>-1048023.6520026708</v>
      </c>
      <c r="AF89" s="30">
        <f t="shared" si="155"/>
        <v>-1292796.7234129687</v>
      </c>
      <c r="AG89" s="169">
        <f>SUM(U89:AF89)</f>
        <v>-3893543.551044011</v>
      </c>
      <c r="AH89" s="43"/>
      <c r="AI89" s="43"/>
      <c r="AJ89" s="2" t="s">
        <v>216</v>
      </c>
      <c r="AK89" s="30">
        <f>AK87-AK57</f>
        <v>-1365429.9391387007</v>
      </c>
      <c r="AL89" s="30">
        <f t="shared" ref="AL89:AV89" si="156">AL87-AL57</f>
        <v>-1393163.0854997365</v>
      </c>
      <c r="AM89" s="30">
        <f t="shared" si="156"/>
        <v>-1218481.2869985544</v>
      </c>
      <c r="AN89" s="30">
        <f t="shared" si="156"/>
        <v>-853559.56868454814</v>
      </c>
      <c r="AO89" s="30">
        <f t="shared" si="156"/>
        <v>-535349.72755788267</v>
      </c>
      <c r="AP89" s="30">
        <f t="shared" si="156"/>
        <v>-6920.68435113132</v>
      </c>
      <c r="AQ89" s="30">
        <f t="shared" si="156"/>
        <v>57043.970665235072</v>
      </c>
      <c r="AR89" s="30">
        <f t="shared" si="156"/>
        <v>-221306.58427310362</v>
      </c>
      <c r="AS89" s="30">
        <f t="shared" si="156"/>
        <v>-651721.56985504553</v>
      </c>
      <c r="AT89" s="30">
        <f t="shared" si="156"/>
        <v>-984707.04819103517</v>
      </c>
      <c r="AU89" s="30">
        <f t="shared" si="156"/>
        <v>-1316277.8497295668</v>
      </c>
      <c r="AV89" s="30">
        <f t="shared" si="156"/>
        <v>-1473678.070111135</v>
      </c>
      <c r="AW89" s="169">
        <f>SUM(AK89:AV89)</f>
        <v>-9963551.4437252041</v>
      </c>
    </row>
    <row r="90" spans="1:50">
      <c r="B90" s="416">
        <v>2548739.0956687019</v>
      </c>
      <c r="C90" s="193" t="s">
        <v>78</v>
      </c>
      <c r="D90" s="200">
        <f>B90+B56+D89</f>
        <v>188731.46197048761</v>
      </c>
      <c r="E90" s="200">
        <f t="shared" ref="E90:O90" si="157">D90+E89</f>
        <v>-776558.79087536992</v>
      </c>
      <c r="F90" s="200">
        <f t="shared" si="157"/>
        <v>-1094386.2934590743</v>
      </c>
      <c r="G90" s="200">
        <f t="shared" si="157"/>
        <v>-934712.98252507509</v>
      </c>
      <c r="H90" s="200">
        <f t="shared" si="157"/>
        <v>1360467.9449113782</v>
      </c>
      <c r="I90" s="200">
        <f t="shared" si="157"/>
        <v>6504149.6368444273</v>
      </c>
      <c r="J90" s="200">
        <f t="shared" si="157"/>
        <v>9800754.3699173629</v>
      </c>
      <c r="K90" s="200">
        <f t="shared" si="157"/>
        <v>11355649.250445431</v>
      </c>
      <c r="L90" s="200">
        <f t="shared" si="157"/>
        <v>11776905.156422045</v>
      </c>
      <c r="M90" s="200">
        <f t="shared" si="157"/>
        <v>10793180.770359768</v>
      </c>
      <c r="N90" s="200">
        <f t="shared" si="157"/>
        <v>9378719.7065885719</v>
      </c>
      <c r="O90" s="172">
        <f t="shared" si="157"/>
        <v>8358228.9481306747</v>
      </c>
      <c r="P90" s="171"/>
      <c r="Q90" s="171"/>
      <c r="R90" s="171"/>
      <c r="S90" s="171"/>
      <c r="T90" s="193" t="s">
        <v>78</v>
      </c>
      <c r="U90" s="200">
        <f>O90+U89</f>
        <v>7088527.8804256842</v>
      </c>
      <c r="V90" s="200">
        <f t="shared" ref="V90:AF90" si="158">U90+V89</f>
        <v>5793246.2584511563</v>
      </c>
      <c r="W90" s="200">
        <f t="shared" si="158"/>
        <v>4784893.5918920143</v>
      </c>
      <c r="X90" s="200">
        <f t="shared" si="158"/>
        <v>4381548.5573028745</v>
      </c>
      <c r="Y90" s="200">
        <f t="shared" si="158"/>
        <v>4684895.4689874472</v>
      </c>
      <c r="Z90" s="200">
        <f t="shared" si="158"/>
        <v>5558401.2468309896</v>
      </c>
      <c r="AA90" s="200">
        <f t="shared" si="158"/>
        <v>6647506.0920089381</v>
      </c>
      <c r="AB90" s="200">
        <f t="shared" si="158"/>
        <v>7260548.8764535403</v>
      </c>
      <c r="AC90" s="200">
        <f t="shared" si="158"/>
        <v>7372497.8248928795</v>
      </c>
      <c r="AD90" s="200">
        <f t="shared" si="158"/>
        <v>6805505.7725023041</v>
      </c>
      <c r="AE90" s="200">
        <f t="shared" si="158"/>
        <v>5757482.1204996333</v>
      </c>
      <c r="AF90" s="172">
        <f t="shared" si="158"/>
        <v>4464685.397086665</v>
      </c>
      <c r="AG90" s="34">
        <f>AG89/AG10</f>
        <v>-0.34987265293322722</v>
      </c>
      <c r="AH90" s="171"/>
      <c r="AI90" s="171"/>
      <c r="AJ90" s="193" t="s">
        <v>78</v>
      </c>
      <c r="AK90" s="200">
        <f>AF90+AK89</f>
        <v>3099255.4579479643</v>
      </c>
      <c r="AL90" s="200">
        <f t="shared" ref="AL90:AV90" si="159">AK90+AL89</f>
        <v>1706092.3724482278</v>
      </c>
      <c r="AM90" s="200">
        <f t="shared" si="159"/>
        <v>487611.08544967347</v>
      </c>
      <c r="AN90" s="200">
        <f t="shared" si="159"/>
        <v>-365948.48323487467</v>
      </c>
      <c r="AO90" s="200">
        <f t="shared" si="159"/>
        <v>-901298.21079275734</v>
      </c>
      <c r="AP90" s="200">
        <f t="shared" si="159"/>
        <v>-908218.89514388866</v>
      </c>
      <c r="AQ90" s="200">
        <f t="shared" si="159"/>
        <v>-851174.92447865359</v>
      </c>
      <c r="AR90" s="200">
        <f t="shared" si="159"/>
        <v>-1072481.5087517572</v>
      </c>
      <c r="AS90" s="200">
        <f t="shared" si="159"/>
        <v>-1724203.0786068027</v>
      </c>
      <c r="AT90" s="200">
        <f t="shared" si="159"/>
        <v>-2708910.1267978381</v>
      </c>
      <c r="AU90" s="200">
        <f t="shared" si="159"/>
        <v>-4025187.976527405</v>
      </c>
      <c r="AV90" s="172">
        <f t="shared" si="159"/>
        <v>-5498866.04663854</v>
      </c>
      <c r="AW90" s="171"/>
    </row>
    <row r="91" spans="1:50" s="144" customFormat="1">
      <c r="A91" s="171"/>
      <c r="B91" s="171"/>
      <c r="C91" s="242" t="s">
        <v>370</v>
      </c>
      <c r="D91" s="129">
        <f>D90/$P$53</f>
        <v>2.5630207287047498E-3</v>
      </c>
      <c r="E91" s="129">
        <f t="shared" ref="E91:O91" si="160">E90/$P$53</f>
        <v>-1.0545863722407362E-2</v>
      </c>
      <c r="F91" s="129">
        <f t="shared" si="160"/>
        <v>-1.4862041156575054E-2</v>
      </c>
      <c r="G91" s="129">
        <f t="shared" si="160"/>
        <v>-1.2693637428484644E-2</v>
      </c>
      <c r="H91" s="129">
        <f t="shared" si="160"/>
        <v>1.8475496915779044E-2</v>
      </c>
      <c r="I91" s="129">
        <f t="shared" si="160"/>
        <v>8.8327988178444283E-2</v>
      </c>
      <c r="J91" s="129">
        <f t="shared" si="160"/>
        <v>0.1330967097100634</v>
      </c>
      <c r="K91" s="129">
        <f t="shared" si="160"/>
        <v>0.15421257331935134</v>
      </c>
      <c r="L91" s="129">
        <f t="shared" si="160"/>
        <v>0.15993333448887059</v>
      </c>
      <c r="M91" s="129">
        <f t="shared" si="160"/>
        <v>0.14657410987159805</v>
      </c>
      <c r="N91" s="129">
        <f t="shared" si="160"/>
        <v>0.12736537281980623</v>
      </c>
      <c r="O91" s="129">
        <f t="shared" si="160"/>
        <v>0.11350685161686966</v>
      </c>
      <c r="P91" s="243"/>
      <c r="Q91" s="129"/>
      <c r="R91" s="129"/>
      <c r="S91" s="129"/>
      <c r="T91" s="242" t="s">
        <v>370</v>
      </c>
      <c r="U91" s="129">
        <f>U90/$AG$53</f>
        <v>9.6678758097484774E-2</v>
      </c>
      <c r="V91" s="129">
        <f t="shared" ref="V91:AF91" si="161">V90/$AG$53</f>
        <v>7.9012717882732467E-2</v>
      </c>
      <c r="W91" s="129">
        <f t="shared" si="161"/>
        <v>6.5260033944446155E-2</v>
      </c>
      <c r="X91" s="129">
        <f t="shared" si="161"/>
        <v>5.9758906250987273E-2</v>
      </c>
      <c r="Y91" s="129">
        <f t="shared" si="161"/>
        <v>6.3896183156585157E-2</v>
      </c>
      <c r="Z91" s="129">
        <f t="shared" si="161"/>
        <v>7.5809722218213235E-2</v>
      </c>
      <c r="AA91" s="129">
        <f t="shared" si="161"/>
        <v>9.0663766054383407E-2</v>
      </c>
      <c r="AB91" s="129">
        <f t="shared" si="161"/>
        <v>9.9024911846641889E-2</v>
      </c>
      <c r="AC91" s="129">
        <f t="shared" si="161"/>
        <v>0.10055175712227685</v>
      </c>
      <c r="AD91" s="129">
        <f t="shared" si="161"/>
        <v>9.2818686391521257E-2</v>
      </c>
      <c r="AE91" s="129">
        <f t="shared" si="161"/>
        <v>7.8524939249438472E-2</v>
      </c>
      <c r="AF91" s="129">
        <f t="shared" si="161"/>
        <v>6.0892789979460918E-2</v>
      </c>
      <c r="AG91" s="171"/>
      <c r="AH91" s="129"/>
      <c r="AI91" s="129"/>
      <c r="AJ91" s="242" t="s">
        <v>370</v>
      </c>
      <c r="AK91" s="129">
        <f>AK90/$AW$53</f>
        <v>3.878027833387114E-2</v>
      </c>
      <c r="AL91" s="129">
        <f t="shared" ref="AL91:AV91" si="162">AL90/$AW$53</f>
        <v>2.1347945648418271E-2</v>
      </c>
      <c r="AM91" s="129">
        <f t="shared" si="162"/>
        <v>6.1013665601284709E-3</v>
      </c>
      <c r="AN91" s="129">
        <f t="shared" si="162"/>
        <v>-4.5790301019918989E-3</v>
      </c>
      <c r="AO91" s="129">
        <f t="shared" si="162"/>
        <v>-1.1277739428264334E-2</v>
      </c>
      <c r="AP91" s="129">
        <f t="shared" si="162"/>
        <v>-1.1364336376802238E-2</v>
      </c>
      <c r="AQ91" s="129">
        <f t="shared" si="162"/>
        <v>-1.065055815177922E-2</v>
      </c>
      <c r="AR91" s="129">
        <f t="shared" si="162"/>
        <v>-1.3419717084199615E-2</v>
      </c>
      <c r="AS91" s="129">
        <f t="shared" si="162"/>
        <v>-2.1574560793630442E-2</v>
      </c>
      <c r="AT91" s="129">
        <f t="shared" si="162"/>
        <v>-3.3895976025228355E-2</v>
      </c>
      <c r="AU91" s="129">
        <f t="shared" si="162"/>
        <v>-5.0366261250125444E-2</v>
      </c>
      <c r="AV91" s="129">
        <f t="shared" si="162"/>
        <v>-6.8806059617463319E-2</v>
      </c>
      <c r="AW91" s="171"/>
      <c r="AX91" s="175"/>
    </row>
    <row r="92" spans="1:50">
      <c r="C92" s="170" t="s">
        <v>460</v>
      </c>
      <c r="E92" s="175">
        <f>E91-D91</f>
        <v>-1.3108884451112112E-2</v>
      </c>
      <c r="F92" s="175">
        <f>F91-E91</f>
        <v>-4.3161774341676923E-3</v>
      </c>
      <c r="G92" s="175">
        <f t="shared" ref="G92:O92" si="163">G91-F91</f>
        <v>2.1684037280904102E-3</v>
      </c>
      <c r="H92" s="175">
        <f t="shared" si="163"/>
        <v>3.1169134344263688E-2</v>
      </c>
      <c r="I92" s="175">
        <f t="shared" si="163"/>
        <v>6.9852491262665239E-2</v>
      </c>
      <c r="J92" s="175">
        <f t="shared" si="163"/>
        <v>4.4768721531619121E-2</v>
      </c>
      <c r="K92" s="175">
        <f t="shared" si="163"/>
        <v>2.1115863609287938E-2</v>
      </c>
      <c r="L92" s="175">
        <f t="shared" si="163"/>
        <v>5.7207611695192506E-3</v>
      </c>
      <c r="M92" s="175">
        <f t="shared" si="163"/>
        <v>-1.3359224617272542E-2</v>
      </c>
      <c r="N92" s="175">
        <f t="shared" si="163"/>
        <v>-1.9208737051791824E-2</v>
      </c>
      <c r="O92" s="175">
        <f t="shared" si="163"/>
        <v>-1.3858521202936569E-2</v>
      </c>
      <c r="T92" s="170" t="s">
        <v>460</v>
      </c>
      <c r="U92" s="175">
        <f>U91-O91</f>
        <v>-1.6828093519384885E-2</v>
      </c>
      <c r="V92" s="175">
        <f>V91-U91</f>
        <v>-1.7666040214752307E-2</v>
      </c>
      <c r="W92" s="175">
        <f t="shared" ref="W92:AF92" si="164">W91-V91</f>
        <v>-1.3752683938286311E-2</v>
      </c>
      <c r="X92" s="175">
        <f t="shared" si="164"/>
        <v>-5.5011276934588821E-3</v>
      </c>
      <c r="Y92" s="175">
        <f t="shared" si="164"/>
        <v>4.1372769055978836E-3</v>
      </c>
      <c r="Z92" s="175">
        <f t="shared" si="164"/>
        <v>1.1913539061628078E-2</v>
      </c>
      <c r="AA92" s="175">
        <f t="shared" si="164"/>
        <v>1.4854043836170172E-2</v>
      </c>
      <c r="AB92" s="175">
        <f t="shared" si="164"/>
        <v>8.3611457922584814E-3</v>
      </c>
      <c r="AC92" s="175">
        <f t="shared" si="164"/>
        <v>1.5268452756349582E-3</v>
      </c>
      <c r="AD92" s="175">
        <f t="shared" si="164"/>
        <v>-7.7330707307555896E-3</v>
      </c>
      <c r="AE92" s="175">
        <f t="shared" si="164"/>
        <v>-1.4293747142082786E-2</v>
      </c>
      <c r="AF92" s="175">
        <f t="shared" si="164"/>
        <v>-1.7632149269977554E-2</v>
      </c>
      <c r="AJ92" s="170" t="s">
        <v>460</v>
      </c>
      <c r="AK92" s="175">
        <f>AK91-AF91</f>
        <v>-2.2112511645589777E-2</v>
      </c>
      <c r="AL92" s="175">
        <f>AL91-AK91</f>
        <v>-1.743233268545287E-2</v>
      </c>
      <c r="AM92" s="175">
        <f t="shared" ref="AM92:AV92" si="165">AM91-AL91</f>
        <v>-1.5246579088289799E-2</v>
      </c>
      <c r="AN92" s="175">
        <f t="shared" si="165"/>
        <v>-1.0680396662120371E-2</v>
      </c>
      <c r="AO92" s="175">
        <f t="shared" si="165"/>
        <v>-6.698709326272435E-3</v>
      </c>
      <c r="AP92" s="175">
        <f t="shared" si="165"/>
        <v>-8.659694853790402E-5</v>
      </c>
      <c r="AQ92" s="175">
        <f t="shared" si="165"/>
        <v>7.1377822502301756E-4</v>
      </c>
      <c r="AR92" s="175">
        <f t="shared" si="165"/>
        <v>-2.7691589324203951E-3</v>
      </c>
      <c r="AS92" s="175">
        <f t="shared" si="165"/>
        <v>-8.1548437094308267E-3</v>
      </c>
      <c r="AT92" s="175">
        <f t="shared" si="165"/>
        <v>-1.2321415231597913E-2</v>
      </c>
      <c r="AU92" s="175">
        <f t="shared" si="165"/>
        <v>-1.6470285224897088E-2</v>
      </c>
      <c r="AV92" s="175">
        <f t="shared" si="165"/>
        <v>-1.8439798367337876E-2</v>
      </c>
    </row>
    <row r="93" spans="1:50">
      <c r="C93" s="170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T93" s="170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J93" s="170"/>
      <c r="AK93" s="175"/>
      <c r="AL93" s="175"/>
      <c r="AM93" s="175"/>
      <c r="AN93" s="175"/>
      <c r="AO93" s="175"/>
      <c r="AP93" s="175"/>
      <c r="AQ93" s="175"/>
      <c r="AR93" s="175"/>
      <c r="AS93" s="175"/>
      <c r="AT93" s="175"/>
      <c r="AU93" s="175"/>
      <c r="AV93" s="175"/>
    </row>
    <row r="94" spans="1:50">
      <c r="C94" s="170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T94" s="170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J94" s="170"/>
      <c r="AK94" s="175"/>
      <c r="AL94" s="175"/>
      <c r="AM94" s="175"/>
      <c r="AN94" s="175"/>
      <c r="AO94" s="175"/>
      <c r="AP94" s="175"/>
      <c r="AQ94" s="175"/>
      <c r="AR94" s="175"/>
      <c r="AS94" s="175"/>
      <c r="AT94" s="175"/>
      <c r="AU94" s="175"/>
      <c r="AV94" s="175"/>
    </row>
    <row r="95" spans="1:50">
      <c r="C95" s="170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T95" s="170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J95" s="170"/>
      <c r="AK95" s="175"/>
      <c r="AL95" s="175"/>
      <c r="AM95" s="175"/>
      <c r="AN95" s="175"/>
      <c r="AO95" s="175"/>
      <c r="AP95" s="175"/>
      <c r="AQ95" s="175"/>
      <c r="AR95" s="175"/>
      <c r="AS95" s="175"/>
      <c r="AT95" s="175"/>
      <c r="AU95" s="175"/>
      <c r="AV95" s="175"/>
    </row>
    <row r="96" spans="1:50">
      <c r="C96" s="170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T96" s="170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J96" s="170"/>
      <c r="AK96" s="175"/>
      <c r="AL96" s="175"/>
      <c r="AM96" s="175"/>
      <c r="AN96" s="175"/>
      <c r="AO96" s="175"/>
      <c r="AP96" s="175"/>
      <c r="AQ96" s="175"/>
      <c r="AR96" s="175"/>
      <c r="AS96" s="175"/>
      <c r="AT96" s="175"/>
      <c r="AU96" s="175"/>
      <c r="AV96" s="175"/>
    </row>
    <row r="97" spans="1:49">
      <c r="C97" s="170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T97" s="170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J97" s="170"/>
      <c r="AK97" s="175"/>
      <c r="AL97" s="175"/>
      <c r="AM97" s="175"/>
      <c r="AN97" s="175"/>
      <c r="AO97" s="175"/>
      <c r="AP97" s="175"/>
      <c r="AQ97" s="175"/>
      <c r="AR97" s="175"/>
      <c r="AS97" s="175"/>
      <c r="AT97" s="175"/>
      <c r="AU97" s="175"/>
      <c r="AV97" s="175"/>
    </row>
    <row r="98" spans="1:49">
      <c r="D98" s="32"/>
      <c r="E98" s="32"/>
      <c r="F98" s="32"/>
      <c r="G98" s="32"/>
      <c r="H98" s="32"/>
      <c r="I98" s="32"/>
      <c r="J98" s="32"/>
      <c r="AC98" s="37"/>
      <c r="AS98" s="37"/>
    </row>
    <row r="99" spans="1:49">
      <c r="A99" s="181"/>
      <c r="D99" s="30"/>
      <c r="E99" s="16"/>
      <c r="F99" s="30"/>
      <c r="G99" s="30"/>
      <c r="H99" s="30"/>
      <c r="I99" s="16"/>
      <c r="J99" s="16"/>
      <c r="K99" s="16"/>
      <c r="L99" s="17"/>
      <c r="M99" s="16"/>
      <c r="N99" s="16"/>
      <c r="O99" s="16"/>
      <c r="AC99" s="37"/>
      <c r="AS99" s="37"/>
    </row>
    <row r="100" spans="1:49">
      <c r="E100" s="16"/>
      <c r="F100" s="10"/>
      <c r="G100" s="10"/>
      <c r="H100" s="10"/>
      <c r="J100" s="10"/>
      <c r="AC100" s="37"/>
      <c r="AS100" s="37"/>
    </row>
    <row r="101" spans="1:49">
      <c r="F101" s="10"/>
      <c r="G101" s="10"/>
      <c r="H101" s="10"/>
      <c r="J101" s="10"/>
      <c r="AC101" s="37"/>
      <c r="AS101" s="37"/>
    </row>
    <row r="102" spans="1:49">
      <c r="A102" s="16"/>
      <c r="B102" s="16"/>
      <c r="C102" s="6" t="s">
        <v>246</v>
      </c>
      <c r="D102" s="16">
        <f t="shared" ref="D102:P102" si="166">D19/D12</f>
        <v>5.1689402452144853</v>
      </c>
      <c r="E102" s="16">
        <f t="shared" si="166"/>
        <v>5.1824271496376033</v>
      </c>
      <c r="F102" s="16">
        <f t="shared" si="166"/>
        <v>3.6662917146771905</v>
      </c>
      <c r="G102" s="16">
        <f t="shared" si="166"/>
        <v>4.0453329500035</v>
      </c>
      <c r="H102" s="17">
        <f t="shared" si="166"/>
        <v>4.0095712277005031</v>
      </c>
      <c r="I102" s="17">
        <f t="shared" si="166"/>
        <v>5.0874638307796145</v>
      </c>
      <c r="J102" s="17">
        <f t="shared" si="166"/>
        <v>4.9369847753910934</v>
      </c>
      <c r="K102" s="17">
        <f t="shared" si="166"/>
        <v>4.591923876694092</v>
      </c>
      <c r="L102" s="17">
        <f t="shared" si="166"/>
        <v>4.8124017117983051</v>
      </c>
      <c r="M102" s="16">
        <f t="shared" si="166"/>
        <v>5.2931610958229607</v>
      </c>
      <c r="N102" s="16">
        <f t="shared" si="166"/>
        <v>5.4201849903878978</v>
      </c>
      <c r="O102" s="16">
        <f t="shared" si="166"/>
        <v>4.4963914716903828</v>
      </c>
      <c r="P102" s="197">
        <f t="shared" si="166"/>
        <v>4.7707390543921848</v>
      </c>
      <c r="Q102" s="16"/>
      <c r="R102" s="16"/>
      <c r="S102" s="16"/>
      <c r="T102" s="6" t="s">
        <v>246</v>
      </c>
      <c r="U102" s="16">
        <f t="shared" ref="U102:AG102" si="167">U19/U12</f>
        <v>4.8585125396360276</v>
      </c>
      <c r="V102" s="16">
        <f t="shared" si="167"/>
        <v>4.8752865568566426</v>
      </c>
      <c r="W102" s="16">
        <f t="shared" si="167"/>
        <v>4.5265124710769715</v>
      </c>
      <c r="X102" s="16">
        <f t="shared" si="167"/>
        <v>4.5998792443381191</v>
      </c>
      <c r="Y102" s="17">
        <f t="shared" si="167"/>
        <v>4.739385009448438</v>
      </c>
      <c r="Z102" s="17">
        <f t="shared" si="167"/>
        <v>4.9719381426403224</v>
      </c>
      <c r="AA102" s="17">
        <f t="shared" si="167"/>
        <v>5.050020559371192</v>
      </c>
      <c r="AB102" s="17">
        <f t="shared" si="167"/>
        <v>5.0419050778557306</v>
      </c>
      <c r="AC102" s="17">
        <f t="shared" si="167"/>
        <v>5.0362377543136967</v>
      </c>
      <c r="AD102" s="16">
        <f t="shared" si="167"/>
        <v>5.000215245445446</v>
      </c>
      <c r="AE102" s="16">
        <f t="shared" si="167"/>
        <v>4.9601159310257552</v>
      </c>
      <c r="AF102" s="16">
        <f t="shared" si="167"/>
        <v>4.9603439816958312</v>
      </c>
      <c r="AG102" s="136">
        <f t="shared" si="167"/>
        <v>4.9299494504215788</v>
      </c>
      <c r="AH102" s="16"/>
      <c r="AI102" s="16"/>
      <c r="AJ102" s="6" t="s">
        <v>246</v>
      </c>
      <c r="AK102" s="16">
        <f t="shared" ref="AK102:AW102" si="168">AK19/AK12</f>
        <v>5.1360476096158507</v>
      </c>
      <c r="AL102" s="16">
        <f t="shared" si="168"/>
        <v>5.1649032961939847</v>
      </c>
      <c r="AM102" s="16">
        <f t="shared" si="168"/>
        <v>5.1777646485983935</v>
      </c>
      <c r="AN102" s="16">
        <f t="shared" si="168"/>
        <v>5.2256761365901578</v>
      </c>
      <c r="AO102" s="17">
        <f t="shared" si="168"/>
        <v>5.4213747284656986</v>
      </c>
      <c r="AP102" s="17">
        <f t="shared" si="168"/>
        <v>5.4957482719550379</v>
      </c>
      <c r="AQ102" s="17">
        <f t="shared" si="168"/>
        <v>5.5875904281011701</v>
      </c>
      <c r="AR102" s="17">
        <f t="shared" si="168"/>
        <v>5.5698665652803534</v>
      </c>
      <c r="AS102" s="17">
        <f t="shared" si="168"/>
        <v>5.6151873617216257</v>
      </c>
      <c r="AT102" s="16">
        <f t="shared" si="168"/>
        <v>5.5211551829963454</v>
      </c>
      <c r="AU102" s="16">
        <f t="shared" si="168"/>
        <v>5.5228130481234521</v>
      </c>
      <c r="AV102" s="16">
        <f t="shared" si="168"/>
        <v>5.5497664215816194</v>
      </c>
      <c r="AW102" s="136">
        <f t="shared" si="168"/>
        <v>5.4788385958739454</v>
      </c>
    </row>
    <row r="103" spans="1:49">
      <c r="A103" s="16"/>
      <c r="B103" s="16"/>
      <c r="C103" s="6" t="s">
        <v>378</v>
      </c>
      <c r="D103" s="16">
        <f t="shared" ref="D103:P103" si="169">+D67</f>
        <v>5.3218848167539266</v>
      </c>
      <c r="E103" s="16">
        <f t="shared" si="169"/>
        <v>5.385549738219896</v>
      </c>
      <c r="F103" s="16">
        <f t="shared" si="169"/>
        <v>4.1312390924956368</v>
      </c>
      <c r="G103" s="16">
        <f t="shared" si="169"/>
        <v>4.3389877835951136</v>
      </c>
      <c r="H103" s="16">
        <f t="shared" si="169"/>
        <v>3.730261780104712</v>
      </c>
      <c r="I103" s="16">
        <f t="shared" si="169"/>
        <v>4.8192670157068074</v>
      </c>
      <c r="J103" s="16">
        <f t="shared" si="169"/>
        <v>4.7623036649214656</v>
      </c>
      <c r="K103" s="16">
        <f t="shared" si="169"/>
        <v>4.8739965095986042</v>
      </c>
      <c r="L103" s="17">
        <f t="shared" si="169"/>
        <v>4.2898429319371729</v>
      </c>
      <c r="M103" s="16">
        <f t="shared" si="169"/>
        <v>4.7891099476439791</v>
      </c>
      <c r="N103" s="16">
        <f t="shared" si="169"/>
        <v>4.9421291448516582</v>
      </c>
      <c r="O103" s="16">
        <f t="shared" si="169"/>
        <v>4.8851657940663173</v>
      </c>
      <c r="P103" s="34">
        <f t="shared" si="169"/>
        <v>4.6966305904473575</v>
      </c>
      <c r="Q103" s="16"/>
      <c r="R103" s="16"/>
      <c r="S103" s="16"/>
      <c r="T103" s="6" t="s">
        <v>247</v>
      </c>
      <c r="U103" s="16">
        <f t="shared" ref="U103:AG103" si="170">+U67</f>
        <v>4.919790575916231</v>
      </c>
      <c r="V103" s="16">
        <f t="shared" si="170"/>
        <v>4.9343106457242589</v>
      </c>
      <c r="W103" s="16">
        <f t="shared" si="170"/>
        <v>4.5143455497382208</v>
      </c>
      <c r="X103" s="16">
        <f t="shared" si="170"/>
        <v>4.5378010471204187</v>
      </c>
      <c r="Y103" s="16">
        <f t="shared" si="170"/>
        <v>4.7075741710296679</v>
      </c>
      <c r="Z103" s="16">
        <f t="shared" si="170"/>
        <v>4.9544153577661429</v>
      </c>
      <c r="AA103" s="16">
        <f t="shared" si="170"/>
        <v>5.0627574171029677</v>
      </c>
      <c r="AB103" s="16">
        <f t="shared" si="170"/>
        <v>5.0638743455497375</v>
      </c>
      <c r="AC103" s="17">
        <f t="shared" si="170"/>
        <v>5.0326003490401394</v>
      </c>
      <c r="AD103" s="16">
        <f t="shared" si="170"/>
        <v>4.982338568935428</v>
      </c>
      <c r="AE103" s="16">
        <f t="shared" si="170"/>
        <v>5.0113787085514838</v>
      </c>
      <c r="AF103" s="16">
        <f t="shared" si="170"/>
        <v>5.0471204188481682</v>
      </c>
      <c r="AG103" s="16">
        <f t="shared" si="170"/>
        <v>4.9093764039402803</v>
      </c>
      <c r="AH103" s="16"/>
      <c r="AI103" s="16"/>
      <c r="AJ103" s="6" t="s">
        <v>247</v>
      </c>
      <c r="AK103" s="16">
        <f t="shared" ref="AK103:AW103" si="171">+AK67</f>
        <v>5.090680628272251</v>
      </c>
      <c r="AL103" s="16">
        <f t="shared" si="171"/>
        <v>5.1174869109947645</v>
      </c>
      <c r="AM103" s="16">
        <f t="shared" si="171"/>
        <v>5.1219546247818499</v>
      </c>
      <c r="AN103" s="16">
        <f t="shared" si="171"/>
        <v>5.1576963350785352</v>
      </c>
      <c r="AO103" s="16">
        <f t="shared" si="171"/>
        <v>5.3364048865619553</v>
      </c>
      <c r="AP103" s="16">
        <f t="shared" si="171"/>
        <v>5.5966492146596867</v>
      </c>
      <c r="AQ103" s="16">
        <f t="shared" si="171"/>
        <v>5.7384991273996517</v>
      </c>
      <c r="AR103" s="16">
        <f t="shared" si="171"/>
        <v>5.7083420593368235</v>
      </c>
      <c r="AS103" s="17">
        <f t="shared" si="171"/>
        <v>5.6312739965095977</v>
      </c>
      <c r="AT103" s="16">
        <f t="shared" si="171"/>
        <v>5.4436300174520067</v>
      </c>
      <c r="AU103" s="16">
        <f t="shared" si="171"/>
        <v>5.457033158813263</v>
      </c>
      <c r="AV103" s="16">
        <f t="shared" si="171"/>
        <v>5.4961256544502621</v>
      </c>
      <c r="AW103" s="16">
        <f t="shared" si="171"/>
        <v>5.4460804065084947</v>
      </c>
    </row>
    <row r="104" spans="1:49">
      <c r="A104" s="10" t="s">
        <v>161</v>
      </c>
      <c r="C104" s="4" t="s">
        <v>380</v>
      </c>
      <c r="D104" s="16">
        <f>+'FT GAS'!G117</f>
        <v>4.6736548907308428</v>
      </c>
      <c r="E104" s="16">
        <f>+'FT GAS'!H117</f>
        <v>4.7302963591853873</v>
      </c>
      <c r="F104" s="16">
        <f>+'FT GAS'!I117</f>
        <v>3.6532143276168236</v>
      </c>
      <c r="G104" s="16">
        <f>+'FT GAS'!J117</f>
        <v>3.8595467628662323</v>
      </c>
      <c r="H104" s="16">
        <f>+'FT GAS'!K117</f>
        <v>3.5498936109692334</v>
      </c>
      <c r="I104" s="16">
        <f>+'FT GAS'!L117</f>
        <v>4.185144661062675</v>
      </c>
      <c r="J104" s="16">
        <f>+'FT GAS'!M117</f>
        <v>4.175510554126534</v>
      </c>
      <c r="K104" s="16">
        <f>+'FT GAS'!N117</f>
        <v>4.2351404963741812</v>
      </c>
      <c r="L104" s="17">
        <f>+'FT GAS'!O117</f>
        <v>3.9401376192156099</v>
      </c>
      <c r="M104" s="16">
        <f>+'FT GAS'!P117</f>
        <v>4.2025470044563784</v>
      </c>
      <c r="N104" s="16">
        <f>+'FT GAS'!Q117</f>
        <v>4.3269657200438472</v>
      </c>
      <c r="O104" s="16">
        <f>+'FT GAS'!R117</f>
        <v>4.2587972635590958</v>
      </c>
      <c r="P104" s="34">
        <f>+'FT GAS'!S117</f>
        <v>4.1635391552612973</v>
      </c>
      <c r="R104" s="11" t="s">
        <v>161</v>
      </c>
      <c r="T104" s="4" t="s">
        <v>241</v>
      </c>
      <c r="U104" s="16">
        <f>+'FT GAS'!X117</f>
        <v>4.2658489953046068</v>
      </c>
      <c r="V104" s="16">
        <f>+'FT GAS'!Y117</f>
        <v>4.279286530535412</v>
      </c>
      <c r="W104" s="16">
        <f>+'FT GAS'!Z117</f>
        <v>3.9667394127267137</v>
      </c>
      <c r="X104" s="16">
        <f>+'FT GAS'!AA117</f>
        <v>4.0224448617833009</v>
      </c>
      <c r="Y104" s="16">
        <f>+'FT GAS'!AB117</f>
        <v>4.1345422414041986</v>
      </c>
      <c r="Z104" s="16">
        <f>+'FT GAS'!AC117</f>
        <v>4.3074081206597139</v>
      </c>
      <c r="AA104" s="16">
        <f>+'FT GAS'!AD117</f>
        <v>4.4064190428593859</v>
      </c>
      <c r="AB104" s="16">
        <f>+'FT GAS'!AE117</f>
        <v>4.3982656804525826</v>
      </c>
      <c r="AC104" s="16">
        <f>+'FT GAS'!AF117</f>
        <v>4.4033604770730967</v>
      </c>
      <c r="AD104" s="16">
        <f>+'FT GAS'!AG117</f>
        <v>4.3702656686069385</v>
      </c>
      <c r="AE104" s="16">
        <f>+'FT GAS'!AH117</f>
        <v>4.3447154272698709</v>
      </c>
      <c r="AF104" s="16">
        <f>+'FT GAS'!AI117</f>
        <v>4.3549664315778642</v>
      </c>
      <c r="AG104" s="16">
        <f>+'FT GAS'!AJ117</f>
        <v>4.2803099265247688</v>
      </c>
      <c r="AH104" s="97" t="s">
        <v>161</v>
      </c>
      <c r="AI104" s="97"/>
      <c r="AJ104" s="4" t="s">
        <v>241</v>
      </c>
      <c r="AK104" s="16">
        <f>+'FT GAS'!AO117</f>
        <v>4.51</v>
      </c>
      <c r="AL104" s="16">
        <f>+'FT GAS'!AP117</f>
        <v>4.5339999999999998</v>
      </c>
      <c r="AM104" s="16">
        <f>+'FT GAS'!AQ117</f>
        <v>4.5380000000000003</v>
      </c>
      <c r="AN104" s="16">
        <f>+'FT GAS'!AR117</f>
        <v>4.57</v>
      </c>
      <c r="AO104" s="16">
        <f>+'FT GAS'!AS117</f>
        <v>4.7300000000000004</v>
      </c>
      <c r="AP104" s="16">
        <f>+'FT GAS'!AT117</f>
        <v>4.9630000000000001</v>
      </c>
      <c r="AQ104" s="16">
        <f>+'FT GAS'!AU117</f>
        <v>5.09</v>
      </c>
      <c r="AR104" s="16">
        <f>+'FT GAS'!AV117</f>
        <v>5.0629999999999997</v>
      </c>
      <c r="AS104" s="16">
        <f>+'FT GAS'!AW117</f>
        <v>4.9939999999999998</v>
      </c>
      <c r="AT104" s="16">
        <f>+'FT GAS'!AX117</f>
        <v>4.8259999999999996</v>
      </c>
      <c r="AU104" s="16">
        <f>+'FT GAS'!AY117</f>
        <v>4.8380000000000001</v>
      </c>
      <c r="AV104" s="16">
        <f>+'FT GAS'!AZ117</f>
        <v>4.8730000000000002</v>
      </c>
      <c r="AW104" s="16">
        <f>+'FT GAS'!BA117</f>
        <v>4.8210594905181132</v>
      </c>
    </row>
    <row r="105" spans="1:49">
      <c r="A105" s="175">
        <v>5.5E-2</v>
      </c>
      <c r="B105" s="16">
        <v>0.05</v>
      </c>
      <c r="C105" s="4" t="s">
        <v>381</v>
      </c>
      <c r="D105" s="16">
        <f>D104/(1-$A$105)+$B$105</f>
        <v>4.995666551037929</v>
      </c>
      <c r="E105" s="16">
        <f t="shared" ref="E105:P105" si="172">E104/(1-$A$105)+$B$105</f>
        <v>5.05560461289459</v>
      </c>
      <c r="F105" s="16">
        <f t="shared" si="172"/>
        <v>3.9158352673193901</v>
      </c>
      <c r="G105" s="16">
        <f t="shared" si="172"/>
        <v>4.1341764686415159</v>
      </c>
      <c r="H105" s="16">
        <f t="shared" si="172"/>
        <v>3.8065011756288185</v>
      </c>
      <c r="I105" s="16">
        <f t="shared" si="172"/>
        <v>4.4787245090610321</v>
      </c>
      <c r="J105" s="16">
        <f t="shared" si="172"/>
        <v>4.4685296869063853</v>
      </c>
      <c r="K105" s="16">
        <f t="shared" si="172"/>
        <v>4.5316301548933131</v>
      </c>
      <c r="L105" s="16">
        <f t="shared" si="172"/>
        <v>4.2194577981117565</v>
      </c>
      <c r="M105" s="16">
        <f t="shared" si="172"/>
        <v>4.4971396872554266</v>
      </c>
      <c r="N105" s="16">
        <f t="shared" si="172"/>
        <v>4.6287997037501025</v>
      </c>
      <c r="O105" s="16">
        <f t="shared" si="172"/>
        <v>4.5566637709620066</v>
      </c>
      <c r="P105" s="34">
        <f t="shared" si="172"/>
        <v>4.4558615399590451</v>
      </c>
      <c r="Q105" s="175"/>
      <c r="R105" s="171">
        <v>5.5E-2</v>
      </c>
      <c r="S105" s="16">
        <v>0.05</v>
      </c>
      <c r="T105" s="4" t="s">
        <v>242</v>
      </c>
      <c r="U105" s="16">
        <f t="shared" ref="U105:AG105" si="173">U104/(1-$R$105)+$S$105</f>
        <v>4.564125920957256</v>
      </c>
      <c r="V105" s="16">
        <f t="shared" si="173"/>
        <v>4.5783455349581077</v>
      </c>
      <c r="W105" s="16">
        <f t="shared" si="173"/>
        <v>4.2476078441552527</v>
      </c>
      <c r="X105" s="16">
        <f t="shared" si="173"/>
        <v>4.3065554092944982</v>
      </c>
      <c r="Y105" s="16">
        <f t="shared" si="173"/>
        <v>4.4251769750308982</v>
      </c>
      <c r="Z105" s="16">
        <f t="shared" si="173"/>
        <v>4.6081038313859404</v>
      </c>
      <c r="AA105" s="16">
        <f t="shared" si="173"/>
        <v>4.7128772940310961</v>
      </c>
      <c r="AB105" s="16">
        <f t="shared" si="173"/>
        <v>4.70424939730432</v>
      </c>
      <c r="AC105" s="16">
        <f t="shared" si="173"/>
        <v>4.7096407164794671</v>
      </c>
      <c r="AD105" s="16">
        <f t="shared" si="173"/>
        <v>4.6746197551396174</v>
      </c>
      <c r="AE105" s="16">
        <f t="shared" si="173"/>
        <v>4.6475824627194404</v>
      </c>
      <c r="AF105" s="16">
        <f t="shared" si="173"/>
        <v>4.6584300863257821</v>
      </c>
      <c r="AG105" s="16">
        <f t="shared" si="173"/>
        <v>4.5794284936770042</v>
      </c>
      <c r="AH105" s="173">
        <v>5.5E-2</v>
      </c>
      <c r="AI105" s="98">
        <v>0.05</v>
      </c>
      <c r="AJ105" s="4" t="s">
        <v>242</v>
      </c>
      <c r="AK105" s="16">
        <f t="shared" ref="AK105:AW105" si="174">AK104/(1-$R$105)+$S$105</f>
        <v>4.8224867724867719</v>
      </c>
      <c r="AL105" s="16">
        <f t="shared" si="174"/>
        <v>4.8478835978835981</v>
      </c>
      <c r="AM105" s="16">
        <f t="shared" si="174"/>
        <v>4.852116402116402</v>
      </c>
      <c r="AN105" s="16">
        <f t="shared" si="174"/>
        <v>4.8859788359788361</v>
      </c>
      <c r="AO105" s="16">
        <f t="shared" si="174"/>
        <v>5.0552910052910054</v>
      </c>
      <c r="AP105" s="16">
        <f t="shared" si="174"/>
        <v>5.3018518518518523</v>
      </c>
      <c r="AQ105" s="16">
        <f t="shared" si="174"/>
        <v>5.4362433862433859</v>
      </c>
      <c r="AR105" s="16">
        <f t="shared" si="174"/>
        <v>5.4076719576719574</v>
      </c>
      <c r="AS105" s="16">
        <f t="shared" si="174"/>
        <v>5.3346560846560847</v>
      </c>
      <c r="AT105" s="16">
        <f t="shared" si="174"/>
        <v>5.1568783068783066</v>
      </c>
      <c r="AU105" s="16">
        <f t="shared" si="174"/>
        <v>5.1695767195767202</v>
      </c>
      <c r="AV105" s="16">
        <f t="shared" si="174"/>
        <v>5.2066137566137574</v>
      </c>
      <c r="AW105" s="16">
        <f t="shared" si="174"/>
        <v>5.1516502545165217</v>
      </c>
    </row>
    <row r="106" spans="1:49">
      <c r="A106" s="175">
        <v>2.5000000000000001E-2</v>
      </c>
      <c r="B106" s="187">
        <v>1.04</v>
      </c>
      <c r="C106" s="4" t="s">
        <v>382</v>
      </c>
      <c r="D106" s="16">
        <f>(D105*$B$106)/(1-$A$106)</f>
        <v>5.3287109877737917</v>
      </c>
      <c r="E106" s="16">
        <f t="shared" ref="E106:P106" si="175">(E105*$B$106)/(1-$A$106)</f>
        <v>5.3926449204208966</v>
      </c>
      <c r="F106" s="16">
        <f t="shared" si="175"/>
        <v>4.1768909518073496</v>
      </c>
      <c r="G106" s="16">
        <f t="shared" si="175"/>
        <v>4.4097882332176166</v>
      </c>
      <c r="H106" s="16">
        <f t="shared" si="175"/>
        <v>4.0602679206707402</v>
      </c>
      <c r="I106" s="16">
        <f t="shared" si="175"/>
        <v>4.7773061429984347</v>
      </c>
      <c r="J106" s="16">
        <f t="shared" si="175"/>
        <v>4.766431666033478</v>
      </c>
      <c r="K106" s="16">
        <f t="shared" si="175"/>
        <v>4.8337388318862002</v>
      </c>
      <c r="L106" s="16">
        <f t="shared" si="175"/>
        <v>4.5007549846525405</v>
      </c>
      <c r="M106" s="16">
        <f t="shared" si="175"/>
        <v>4.7969489997391221</v>
      </c>
      <c r="N106" s="16">
        <f t="shared" si="175"/>
        <v>4.9373863506667757</v>
      </c>
      <c r="O106" s="16">
        <f t="shared" si="175"/>
        <v>4.8604413556928074</v>
      </c>
      <c r="P106" s="34">
        <f t="shared" si="175"/>
        <v>4.7529189759563151</v>
      </c>
      <c r="Q106" s="175"/>
      <c r="R106" s="171">
        <v>2.5000000000000001E-2</v>
      </c>
      <c r="S106" s="187">
        <v>1.04</v>
      </c>
      <c r="T106" s="4" t="s">
        <v>243</v>
      </c>
      <c r="U106" s="16">
        <f t="shared" ref="U106:AG106" si="176">(U105*$S$106)/(1-$R$106)</f>
        <v>4.8684009823544061</v>
      </c>
      <c r="V106" s="16">
        <f t="shared" si="176"/>
        <v>4.883568570621982</v>
      </c>
      <c r="W106" s="16">
        <f t="shared" si="176"/>
        <v>4.5307817004322697</v>
      </c>
      <c r="X106" s="16">
        <f t="shared" si="176"/>
        <v>4.5936591032474645</v>
      </c>
      <c r="Y106" s="16">
        <f t="shared" si="176"/>
        <v>4.7201887733662922</v>
      </c>
      <c r="Z106" s="16">
        <f t="shared" si="176"/>
        <v>4.9153107534783365</v>
      </c>
      <c r="AA106" s="16">
        <f t="shared" si="176"/>
        <v>5.0270691136331696</v>
      </c>
      <c r="AB106" s="16">
        <f t="shared" si="176"/>
        <v>5.0178660237912744</v>
      </c>
      <c r="AC106" s="16">
        <f t="shared" si="176"/>
        <v>5.0236167642447658</v>
      </c>
      <c r="AD106" s="16">
        <f t="shared" si="176"/>
        <v>4.9862610721489258</v>
      </c>
      <c r="AE106" s="16">
        <f t="shared" si="176"/>
        <v>4.9574212935674034</v>
      </c>
      <c r="AF106" s="16">
        <f t="shared" si="176"/>
        <v>4.9689920920808346</v>
      </c>
      <c r="AG106" s="16">
        <f t="shared" si="176"/>
        <v>4.8847237265888044</v>
      </c>
      <c r="AH106" s="173">
        <v>2.5000000000000001E-2</v>
      </c>
      <c r="AI106" s="174">
        <v>1.04</v>
      </c>
      <c r="AJ106" s="4" t="s">
        <v>243</v>
      </c>
      <c r="AK106" s="16">
        <f t="shared" ref="AK106:AW106" si="177">(AK105*$S$106)/(1-$R$106)</f>
        <v>5.1439858906525568</v>
      </c>
      <c r="AL106" s="16">
        <f t="shared" si="177"/>
        <v>5.1710758377425048</v>
      </c>
      <c r="AM106" s="16">
        <f t="shared" si="177"/>
        <v>5.1755908289241619</v>
      </c>
      <c r="AN106" s="16">
        <f t="shared" si="177"/>
        <v>5.2117107583774249</v>
      </c>
      <c r="AO106" s="16">
        <f t="shared" si="177"/>
        <v>5.3923104056437392</v>
      </c>
      <c r="AP106" s="16">
        <f t="shared" si="177"/>
        <v>5.6553086419753091</v>
      </c>
      <c r="AQ106" s="16">
        <f t="shared" si="177"/>
        <v>5.7986596119929459</v>
      </c>
      <c r="AR106" s="16">
        <f t="shared" si="177"/>
        <v>5.7681834215167544</v>
      </c>
      <c r="AS106" s="16">
        <f t="shared" si="177"/>
        <v>5.6902998236331568</v>
      </c>
      <c r="AT106" s="16">
        <f t="shared" si="177"/>
        <v>5.5006701940035274</v>
      </c>
      <c r="AU106" s="16">
        <f t="shared" si="177"/>
        <v>5.5142151675485014</v>
      </c>
      <c r="AV106" s="16">
        <f t="shared" si="177"/>
        <v>5.5537213403880079</v>
      </c>
      <c r="AW106" s="16">
        <f t="shared" si="177"/>
        <v>5.4950936048176233</v>
      </c>
    </row>
    <row r="107" spans="1:49">
      <c r="A107" s="16"/>
      <c r="B107" s="16"/>
      <c r="C107" s="4" t="s">
        <v>379</v>
      </c>
      <c r="D107" s="16">
        <f t="shared" ref="D107:P107" si="178">D106-D102</f>
        <v>0.15977074255930646</v>
      </c>
      <c r="E107" s="16">
        <f t="shared" si="178"/>
        <v>0.21021777078329329</v>
      </c>
      <c r="F107" s="17">
        <f t="shared" si="178"/>
        <v>0.51059923713015909</v>
      </c>
      <c r="G107" s="17">
        <f t="shared" si="178"/>
        <v>0.36445528321411658</v>
      </c>
      <c r="H107" s="17">
        <f t="shared" si="178"/>
        <v>5.0696692970237045E-2</v>
      </c>
      <c r="I107" s="17">
        <f t="shared" si="178"/>
        <v>-0.3101576877811798</v>
      </c>
      <c r="J107" s="17">
        <f t="shared" si="178"/>
        <v>-0.17055310935761536</v>
      </c>
      <c r="K107" s="17">
        <f t="shared" si="178"/>
        <v>0.24181495519210827</v>
      </c>
      <c r="L107" s="17">
        <f t="shared" si="178"/>
        <v>-0.31164672714576458</v>
      </c>
      <c r="M107" s="16">
        <f t="shared" si="178"/>
        <v>-0.49621209608383854</v>
      </c>
      <c r="N107" s="16">
        <f t="shared" si="178"/>
        <v>-0.48279863972112214</v>
      </c>
      <c r="O107" s="16">
        <f t="shared" si="178"/>
        <v>0.36404988400242466</v>
      </c>
      <c r="P107" s="34">
        <f t="shared" si="178"/>
        <v>-1.7820078435869746E-2</v>
      </c>
      <c r="Q107" s="16"/>
      <c r="R107" s="16"/>
      <c r="S107" s="16"/>
      <c r="T107" s="4" t="s">
        <v>248</v>
      </c>
      <c r="U107" s="16">
        <f t="shared" ref="U107:AG107" si="179">U106-U102</f>
        <v>9.8884427183785206E-3</v>
      </c>
      <c r="V107" s="16">
        <f t="shared" si="179"/>
        <v>8.2820137653394355E-3</v>
      </c>
      <c r="W107" s="16">
        <f t="shared" si="179"/>
        <v>4.2692293552981653E-3</v>
      </c>
      <c r="X107" s="16">
        <f t="shared" si="179"/>
        <v>-6.2201410906546073E-3</v>
      </c>
      <c r="Y107" s="17">
        <f t="shared" si="179"/>
        <v>-1.9196236082145823E-2</v>
      </c>
      <c r="Z107" s="17">
        <f t="shared" si="179"/>
        <v>-5.6627389161985953E-2</v>
      </c>
      <c r="AA107" s="17">
        <f t="shared" si="179"/>
        <v>-2.2951445738022436E-2</v>
      </c>
      <c r="AB107" s="17">
        <f t="shared" si="179"/>
        <v>-2.4039054064456167E-2</v>
      </c>
      <c r="AC107" s="17">
        <f t="shared" si="179"/>
        <v>-1.2620990068930915E-2</v>
      </c>
      <c r="AD107" s="16">
        <f t="shared" si="179"/>
        <v>-1.3954173296520267E-2</v>
      </c>
      <c r="AE107" s="16">
        <f t="shared" si="179"/>
        <v>-2.6946374583518562E-3</v>
      </c>
      <c r="AF107" s="16">
        <f t="shared" si="179"/>
        <v>8.6481103850033492E-3</v>
      </c>
      <c r="AG107" s="16">
        <f t="shared" si="179"/>
        <v>-4.5225723832774456E-2</v>
      </c>
      <c r="AH107" s="16"/>
      <c r="AI107" s="16"/>
      <c r="AJ107" s="4" t="s">
        <v>248</v>
      </c>
      <c r="AK107" s="16">
        <f t="shared" ref="AK107:AW107" si="180">AK106-AK102</f>
        <v>7.9382810367061296E-3</v>
      </c>
      <c r="AL107" s="16">
        <f t="shared" si="180"/>
        <v>6.1725415485200941E-3</v>
      </c>
      <c r="AM107" s="16">
        <f t="shared" si="180"/>
        <v>-2.1738196742315807E-3</v>
      </c>
      <c r="AN107" s="16">
        <f t="shared" si="180"/>
        <v>-1.3965378212732915E-2</v>
      </c>
      <c r="AO107" s="17">
        <f t="shared" si="180"/>
        <v>-2.9064322821959365E-2</v>
      </c>
      <c r="AP107" s="17">
        <f t="shared" si="180"/>
        <v>0.15956037002027124</v>
      </c>
      <c r="AQ107" s="17">
        <f t="shared" si="180"/>
        <v>0.21106918389177576</v>
      </c>
      <c r="AR107" s="17">
        <f t="shared" si="180"/>
        <v>0.19831685623640105</v>
      </c>
      <c r="AS107" s="17">
        <f t="shared" si="180"/>
        <v>7.5112461911531092E-2</v>
      </c>
      <c r="AT107" s="16">
        <f t="shared" si="180"/>
        <v>-2.0484988992818032E-2</v>
      </c>
      <c r="AU107" s="16">
        <f t="shared" si="180"/>
        <v>-8.5978805749507003E-3</v>
      </c>
      <c r="AV107" s="16">
        <f t="shared" si="180"/>
        <v>3.954918806388541E-3</v>
      </c>
      <c r="AW107" s="16">
        <f t="shared" si="180"/>
        <v>1.6255008943677929E-2</v>
      </c>
    </row>
    <row r="108" spans="1:49">
      <c r="C108" s="10"/>
      <c r="D108" s="10"/>
      <c r="E108" s="10"/>
      <c r="F108" s="10"/>
      <c r="G108" s="10"/>
      <c r="H108" s="10"/>
      <c r="I108" s="10"/>
      <c r="J108" s="10"/>
      <c r="K108" s="10"/>
      <c r="L108" s="24"/>
      <c r="M108" s="10"/>
      <c r="N108" s="10"/>
      <c r="O108" s="10"/>
      <c r="P108" s="11"/>
      <c r="T108" s="10"/>
      <c r="U108" s="10"/>
      <c r="V108" s="10"/>
      <c r="W108" s="10"/>
      <c r="X108" s="10"/>
      <c r="Y108" s="10"/>
      <c r="Z108" s="10"/>
      <c r="AA108" s="10"/>
      <c r="AB108" s="10"/>
      <c r="AC108" s="24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24"/>
      <c r="AT108" s="10"/>
      <c r="AU108" s="10"/>
      <c r="AV108" s="10"/>
      <c r="AW108" s="10"/>
    </row>
    <row r="109" spans="1:49" s="16" customFormat="1">
      <c r="C109" s="7" t="s">
        <v>244</v>
      </c>
      <c r="D109" s="16">
        <f t="shared" ref="D109:P109" si="181">D67</f>
        <v>5.3218848167539266</v>
      </c>
      <c r="E109" s="16">
        <f t="shared" si="181"/>
        <v>5.385549738219896</v>
      </c>
      <c r="F109" s="16">
        <f t="shared" si="181"/>
        <v>4.1312390924956368</v>
      </c>
      <c r="G109" s="16">
        <f t="shared" si="181"/>
        <v>4.3389877835951136</v>
      </c>
      <c r="H109" s="16">
        <f t="shared" si="181"/>
        <v>3.730261780104712</v>
      </c>
      <c r="I109" s="16">
        <f t="shared" si="181"/>
        <v>4.8192670157068074</v>
      </c>
      <c r="J109" s="16">
        <f t="shared" si="181"/>
        <v>4.7623036649214656</v>
      </c>
      <c r="K109" s="16">
        <f t="shared" si="181"/>
        <v>4.8739965095986042</v>
      </c>
      <c r="L109" s="17">
        <f t="shared" si="181"/>
        <v>4.2898429319371729</v>
      </c>
      <c r="M109" s="16">
        <f t="shared" si="181"/>
        <v>4.7891099476439791</v>
      </c>
      <c r="N109" s="16">
        <f t="shared" si="181"/>
        <v>4.9421291448516582</v>
      </c>
      <c r="O109" s="16">
        <f t="shared" si="181"/>
        <v>4.8851657940663173</v>
      </c>
      <c r="P109" s="34">
        <f t="shared" si="181"/>
        <v>4.6966305904473575</v>
      </c>
      <c r="T109" s="7" t="s">
        <v>244</v>
      </c>
      <c r="U109" s="16">
        <f t="shared" ref="U109:AG109" si="182">U67</f>
        <v>4.919790575916231</v>
      </c>
      <c r="V109" s="16">
        <f t="shared" si="182"/>
        <v>4.9343106457242589</v>
      </c>
      <c r="W109" s="16">
        <f t="shared" si="182"/>
        <v>4.5143455497382208</v>
      </c>
      <c r="X109" s="16">
        <f t="shared" si="182"/>
        <v>4.5378010471204187</v>
      </c>
      <c r="Y109" s="16">
        <f t="shared" si="182"/>
        <v>4.7075741710296679</v>
      </c>
      <c r="Z109" s="16">
        <f t="shared" si="182"/>
        <v>4.9544153577661429</v>
      </c>
      <c r="AA109" s="16">
        <f t="shared" si="182"/>
        <v>5.0627574171029677</v>
      </c>
      <c r="AB109" s="16">
        <f t="shared" si="182"/>
        <v>5.0638743455497375</v>
      </c>
      <c r="AC109" s="17">
        <f t="shared" si="182"/>
        <v>5.0326003490401394</v>
      </c>
      <c r="AD109" s="16">
        <f t="shared" si="182"/>
        <v>4.982338568935428</v>
      </c>
      <c r="AE109" s="16">
        <f t="shared" si="182"/>
        <v>5.0113787085514838</v>
      </c>
      <c r="AF109" s="16">
        <f t="shared" si="182"/>
        <v>5.0471204188481682</v>
      </c>
      <c r="AG109" s="16">
        <f t="shared" si="182"/>
        <v>4.9093764039402803</v>
      </c>
      <c r="AJ109" s="7" t="s">
        <v>244</v>
      </c>
      <c r="AK109" s="16">
        <f t="shared" ref="AK109:AW109" si="183">AK67</f>
        <v>5.090680628272251</v>
      </c>
      <c r="AL109" s="16">
        <f t="shared" si="183"/>
        <v>5.1174869109947645</v>
      </c>
      <c r="AM109" s="16">
        <f t="shared" si="183"/>
        <v>5.1219546247818499</v>
      </c>
      <c r="AN109" s="16">
        <f t="shared" si="183"/>
        <v>5.1576963350785352</v>
      </c>
      <c r="AO109" s="16">
        <f t="shared" si="183"/>
        <v>5.3364048865619553</v>
      </c>
      <c r="AP109" s="16">
        <f t="shared" si="183"/>
        <v>5.5966492146596867</v>
      </c>
      <c r="AQ109" s="16">
        <f t="shared" si="183"/>
        <v>5.7384991273996517</v>
      </c>
      <c r="AR109" s="16">
        <f t="shared" si="183"/>
        <v>5.7083420593368235</v>
      </c>
      <c r="AS109" s="17">
        <f t="shared" si="183"/>
        <v>5.6312739965095977</v>
      </c>
      <c r="AT109" s="16">
        <f t="shared" si="183"/>
        <v>5.4436300174520067</v>
      </c>
      <c r="AU109" s="16">
        <f t="shared" si="183"/>
        <v>5.457033158813263</v>
      </c>
      <c r="AV109" s="16">
        <f t="shared" si="183"/>
        <v>5.4961256544502621</v>
      </c>
      <c r="AW109" s="16">
        <f t="shared" si="183"/>
        <v>5.4460804065084947</v>
      </c>
    </row>
    <row r="110" spans="1:49" s="16" customFormat="1">
      <c r="C110" s="7" t="s">
        <v>118</v>
      </c>
      <c r="D110" s="22">
        <f>+D10</f>
        <v>238580.8</v>
      </c>
      <c r="E110" s="22">
        <f t="shared" ref="E110:O110" si="184">+E10</f>
        <v>254773.5</v>
      </c>
      <c r="F110" s="22">
        <f t="shared" si="184"/>
        <v>279880</v>
      </c>
      <c r="G110" s="22">
        <f t="shared" si="184"/>
        <v>504923</v>
      </c>
      <c r="H110" s="22">
        <f t="shared" si="184"/>
        <v>1182529.3</v>
      </c>
      <c r="I110" s="22">
        <f t="shared" si="184"/>
        <v>2571218.2000000002</v>
      </c>
      <c r="J110" s="22">
        <f t="shared" si="184"/>
        <v>2556244</v>
      </c>
      <c r="K110" s="22">
        <f t="shared" si="184"/>
        <v>1644464.4000000001</v>
      </c>
      <c r="L110" s="28">
        <f t="shared" si="184"/>
        <v>1338733.7999999998</v>
      </c>
      <c r="M110" s="22">
        <f t="shared" si="184"/>
        <v>635148.20000000007</v>
      </c>
      <c r="N110" s="22">
        <f t="shared" si="184"/>
        <v>360199.8</v>
      </c>
      <c r="O110" s="22">
        <f t="shared" si="184"/>
        <v>278060.90000000002</v>
      </c>
      <c r="P110" s="59">
        <f>SUM(D110:O110)</f>
        <v>11844755.9</v>
      </c>
      <c r="T110" s="7" t="s">
        <v>118</v>
      </c>
      <c r="U110" s="22">
        <f>+U10</f>
        <v>266941.50775686617</v>
      </c>
      <c r="V110" s="22">
        <f t="shared" ref="V110:AF110" si="185">+V10</f>
        <v>266941.50775686617</v>
      </c>
      <c r="W110" s="22">
        <f t="shared" si="185"/>
        <v>313472.90380093502</v>
      </c>
      <c r="X110" s="22">
        <f t="shared" si="185"/>
        <v>726461.61128455435</v>
      </c>
      <c r="Y110" s="22">
        <f t="shared" si="185"/>
        <v>1218216.929857672</v>
      </c>
      <c r="Z110" s="22">
        <f t="shared" si="185"/>
        <v>1794590.5630400246</v>
      </c>
      <c r="AA110" s="22">
        <f t="shared" si="185"/>
        <v>2049879.5094442959</v>
      </c>
      <c r="AB110" s="22">
        <f t="shared" si="185"/>
        <v>1680938.1163391944</v>
      </c>
      <c r="AC110" s="28">
        <f t="shared" si="185"/>
        <v>1345282.0173685076</v>
      </c>
      <c r="AD110" s="22">
        <f t="shared" si="185"/>
        <v>777077.63047109125</v>
      </c>
      <c r="AE110" s="22">
        <f t="shared" si="185"/>
        <v>430326.4334555997</v>
      </c>
      <c r="AF110" s="22">
        <f t="shared" si="185"/>
        <v>258330.49137761246</v>
      </c>
      <c r="AG110" s="22">
        <f>SUM(U110:AF110)</f>
        <v>11128459.221953221</v>
      </c>
      <c r="AJ110" s="7" t="s">
        <v>118</v>
      </c>
      <c r="AK110" s="22">
        <f>+AK10</f>
        <v>268614.86878471193</v>
      </c>
      <c r="AL110" s="22">
        <f t="shared" ref="AL110:AV110" si="186">+AL10</f>
        <v>268614.86878471193</v>
      </c>
      <c r="AM110" s="22">
        <f t="shared" si="186"/>
        <v>315517.05939716566</v>
      </c>
      <c r="AN110" s="22">
        <f t="shared" si="186"/>
        <v>731674.755282233</v>
      </c>
      <c r="AO110" s="22">
        <f t="shared" si="186"/>
        <v>1227230.5248122846</v>
      </c>
      <c r="AP110" s="22">
        <f t="shared" si="186"/>
        <v>1808031.7358964707</v>
      </c>
      <c r="AQ110" s="22">
        <f t="shared" si="186"/>
        <v>2065287.2283950937</v>
      </c>
      <c r="AR110" s="22">
        <f t="shared" si="186"/>
        <v>1693540.8591751985</v>
      </c>
      <c r="AS110" s="28">
        <f t="shared" si="186"/>
        <v>1355262.0690988947</v>
      </c>
      <c r="AT110" s="22">
        <f t="shared" si="186"/>
        <v>782693.03377466474</v>
      </c>
      <c r="AU110" s="22">
        <f t="shared" si="186"/>
        <v>433258.38398383051</v>
      </c>
      <c r="AV110" s="22">
        <f t="shared" si="186"/>
        <v>259949.87301746316</v>
      </c>
      <c r="AW110" s="22">
        <f>SUM(AK110:AV110)</f>
        <v>11209675.260402724</v>
      </c>
    </row>
    <row r="111" spans="1:49" s="16" customFormat="1">
      <c r="C111" s="7" t="s">
        <v>245</v>
      </c>
      <c r="D111" s="32">
        <f t="shared" ref="D111:O111" si="187">D109*D110</f>
        <v>1269699.5370890051</v>
      </c>
      <c r="E111" s="32">
        <f t="shared" si="187"/>
        <v>1372095.3562303667</v>
      </c>
      <c r="F111" s="32">
        <f t="shared" si="187"/>
        <v>1156251.1972076788</v>
      </c>
      <c r="G111" s="32">
        <f t="shared" si="187"/>
        <v>2190854.7286561956</v>
      </c>
      <c r="H111" s="32">
        <f t="shared" si="187"/>
        <v>4411143.8516439795</v>
      </c>
      <c r="I111" s="32">
        <f t="shared" si="187"/>
        <v>12391387.061445029</v>
      </c>
      <c r="J111" s="32">
        <f t="shared" si="187"/>
        <v>12173610.169633508</v>
      </c>
      <c r="K111" s="32">
        <f t="shared" si="187"/>
        <v>8015113.745759164</v>
      </c>
      <c r="L111" s="39">
        <f t="shared" si="187"/>
        <v>5742957.7296753917</v>
      </c>
      <c r="M111" s="32">
        <f t="shared" si="187"/>
        <v>3041794.562848168</v>
      </c>
      <c r="N111" s="32">
        <f t="shared" si="187"/>
        <v>1780153.9295497383</v>
      </c>
      <c r="O111" s="32">
        <f t="shared" si="187"/>
        <v>1358373.5973472949</v>
      </c>
      <c r="P111" s="43">
        <f>SUM(D111:O111)</f>
        <v>54903435.467085518</v>
      </c>
      <c r="T111" s="7" t="s">
        <v>245</v>
      </c>
      <c r="U111" s="32">
        <f t="shared" ref="U111:AF111" si="188">U109*U110</f>
        <v>1313296.3141830997</v>
      </c>
      <c r="V111" s="32">
        <f t="shared" si="188"/>
        <v>1317172.3235103895</v>
      </c>
      <c r="W111" s="32">
        <f t="shared" si="188"/>
        <v>1415125.0082372683</v>
      </c>
      <c r="X111" s="32">
        <f t="shared" si="188"/>
        <v>3296538.2603798374</v>
      </c>
      <c r="Y111" s="32">
        <f t="shared" si="188"/>
        <v>5734846.5537090376</v>
      </c>
      <c r="Z111" s="32">
        <f t="shared" si="188"/>
        <v>8891147.0464276876</v>
      </c>
      <c r="AA111" s="32">
        <f t="shared" si="188"/>
        <v>10378042.690606503</v>
      </c>
      <c r="AB111" s="32">
        <f t="shared" si="188"/>
        <v>8512059.4037867468</v>
      </c>
      <c r="AC111" s="39">
        <f t="shared" si="188"/>
        <v>6770266.750166174</v>
      </c>
      <c r="AD111" s="32">
        <f t="shared" si="188"/>
        <v>3871663.8493530704</v>
      </c>
      <c r="AE111" s="32">
        <f t="shared" si="188"/>
        <v>2156528.7263462893</v>
      </c>
      <c r="AF111" s="32">
        <f t="shared" si="188"/>
        <v>1303825.0978430286</v>
      </c>
      <c r="AG111" s="32">
        <f>SUM(U111:AF111)</f>
        <v>54960512.024549134</v>
      </c>
      <c r="AJ111" s="7" t="s">
        <v>245</v>
      </c>
      <c r="AK111" s="32">
        <f t="shared" ref="AK111:AV111" si="189">AK109*AK110</f>
        <v>1367432.5089882256</v>
      </c>
      <c r="AL111" s="32">
        <f t="shared" si="189"/>
        <v>1374633.0751043395</v>
      </c>
      <c r="AM111" s="32">
        <f t="shared" si="189"/>
        <v>1616064.0615768824</v>
      </c>
      <c r="AN111" s="32">
        <f t="shared" si="189"/>
        <v>3773756.2037886572</v>
      </c>
      <c r="AO111" s="32">
        <f t="shared" si="189"/>
        <v>6548998.9695462687</v>
      </c>
      <c r="AP111" s="32">
        <f t="shared" si="189"/>
        <v>10118919.394784773</v>
      </c>
      <c r="AQ111" s="32">
        <f t="shared" si="189"/>
        <v>11851648.95797489</v>
      </c>
      <c r="AR111" s="32">
        <f t="shared" si="189"/>
        <v>9667310.5156352054</v>
      </c>
      <c r="AS111" s="39">
        <f t="shared" si="189"/>
        <v>7631852.0481723994</v>
      </c>
      <c r="AT111" s="32">
        <f t="shared" si="189"/>
        <v>4260691.2931063427</v>
      </c>
      <c r="AU111" s="32">
        <f t="shared" si="189"/>
        <v>2364305.3677336122</v>
      </c>
      <c r="AV111" s="32">
        <f t="shared" si="189"/>
        <v>1428717.1659623673</v>
      </c>
      <c r="AW111" s="32">
        <f>SUM(AK111:AV111)</f>
        <v>62004329.562373959</v>
      </c>
    </row>
    <row r="112" spans="1:49" s="16" customFormat="1">
      <c r="C112" s="7" t="s">
        <v>77</v>
      </c>
      <c r="D112" s="32">
        <f>D33</f>
        <v>1199357.7591692144</v>
      </c>
      <c r="E112" s="32">
        <f t="shared" ref="E112:P112" si="190">E33</f>
        <v>1273840.9383058576</v>
      </c>
      <c r="F112" s="32">
        <f t="shared" si="190"/>
        <v>910868.70930070442</v>
      </c>
      <c r="G112" s="32">
        <f t="shared" si="190"/>
        <v>1962482.8884300007</v>
      </c>
      <c r="H112" s="32">
        <f t="shared" si="190"/>
        <v>4713123.6157165468</v>
      </c>
      <c r="I112" s="32">
        <f t="shared" si="190"/>
        <v>13208730.497028951</v>
      </c>
      <c r="J112" s="32">
        <f t="shared" si="190"/>
        <v>12704318.107405065</v>
      </c>
      <c r="K112" s="32">
        <f t="shared" si="190"/>
        <v>7473187.1880369326</v>
      </c>
      <c r="L112" s="39">
        <f t="shared" si="190"/>
        <v>6555262.5190033857</v>
      </c>
      <c r="M112" s="32">
        <f t="shared" si="190"/>
        <v>3527826.9913922772</v>
      </c>
      <c r="N112" s="32">
        <f t="shared" si="190"/>
        <v>2067589.9784591955</v>
      </c>
      <c r="O112" s="32">
        <f t="shared" si="190"/>
        <v>1164277.2782298971</v>
      </c>
      <c r="P112" s="43">
        <f t="shared" si="190"/>
        <v>56760866.470478028</v>
      </c>
      <c r="T112" s="7" t="s">
        <v>77</v>
      </c>
      <c r="U112" s="32">
        <f>U33</f>
        <v>1283322.6831246209</v>
      </c>
      <c r="V112" s="32">
        <f t="shared" ref="V112:AG112" si="191">V33</f>
        <v>1288903.237394158</v>
      </c>
      <c r="W112" s="32">
        <f t="shared" si="191"/>
        <v>1421279.9240652199</v>
      </c>
      <c r="X112" s="32">
        <f t="shared" si="191"/>
        <v>3360768.1879387433</v>
      </c>
      <c r="Y112" s="32">
        <f t="shared" si="191"/>
        <v>5783606.7453902951</v>
      </c>
      <c r="Z112" s="32">
        <f t="shared" si="191"/>
        <v>8929271.2041166201</v>
      </c>
      <c r="AA112" s="32">
        <f t="shared" si="191"/>
        <v>10346921.713409975</v>
      </c>
      <c r="AB112" s="32">
        <f t="shared" si="191"/>
        <v>8467467.5437601618</v>
      </c>
      <c r="AC112" s="39">
        <f t="shared" si="191"/>
        <v>6776308.7786559612</v>
      </c>
      <c r="AD112" s="32">
        <f t="shared" si="191"/>
        <v>3890900.5410526688</v>
      </c>
      <c r="AE112" s="32">
        <f t="shared" si="191"/>
        <v>2121924.996464069</v>
      </c>
      <c r="AF112" s="32">
        <f t="shared" si="191"/>
        <v>1262942.0723674495</v>
      </c>
      <c r="AG112" s="32">
        <f t="shared" si="191"/>
        <v>54933617.627739944</v>
      </c>
      <c r="AJ112" s="7" t="s">
        <v>77</v>
      </c>
      <c r="AK112" s="32">
        <f>AK33</f>
        <v>1389928.4012393281</v>
      </c>
      <c r="AL112" s="32">
        <f t="shared" ref="AL112:AW112" si="192">AL33</f>
        <v>1397661.5476003641</v>
      </c>
      <c r="AM112" s="32">
        <f t="shared" si="192"/>
        <v>1644695.5558801312</v>
      </c>
      <c r="AN112" s="32">
        <f t="shared" si="192"/>
        <v>3844868.1580190626</v>
      </c>
      <c r="AO112" s="32">
        <f t="shared" si="192"/>
        <v>6680891.7518377332</v>
      </c>
      <c r="AP112" s="32">
        <f t="shared" si="192"/>
        <v>9897065.2898781933</v>
      </c>
      <c r="AQ112" s="32">
        <f t="shared" si="192"/>
        <v>11479132.761102874</v>
      </c>
      <c r="AR112" s="32">
        <f t="shared" si="192"/>
        <v>9383734.7409118935</v>
      </c>
      <c r="AS112" s="39">
        <f t="shared" si="192"/>
        <v>7604849.6331978627</v>
      </c>
      <c r="AT112" s="32">
        <f t="shared" si="192"/>
        <v>4345115.6583263548</v>
      </c>
      <c r="AU112" s="32">
        <f t="shared" si="192"/>
        <v>2409236.8726244653</v>
      </c>
      <c r="AV112" s="32">
        <f t="shared" si="192"/>
        <v>1454349.3997246455</v>
      </c>
      <c r="AW112" s="32">
        <f t="shared" si="192"/>
        <v>61531529.770342909</v>
      </c>
    </row>
    <row r="113" spans="1:50" s="16" customFormat="1">
      <c r="C113" s="4" t="s">
        <v>136</v>
      </c>
      <c r="D113" s="16">
        <f t="shared" ref="D113:O113" si="193">D112/D110</f>
        <v>5.0270506225530909</v>
      </c>
      <c r="E113" s="16">
        <f t="shared" si="193"/>
        <v>4.9998957438896019</v>
      </c>
      <c r="F113" s="16">
        <f t="shared" si="193"/>
        <v>3.2544973177815648</v>
      </c>
      <c r="G113" s="16">
        <f t="shared" si="193"/>
        <v>3.8866973547055705</v>
      </c>
      <c r="H113" s="16">
        <f t="shared" si="193"/>
        <v>3.9856294602734552</v>
      </c>
      <c r="I113" s="16">
        <f t="shared" si="193"/>
        <v>5.1371488024738428</v>
      </c>
      <c r="J113" s="16">
        <f t="shared" si="193"/>
        <v>4.9699160594235385</v>
      </c>
      <c r="K113" s="16">
        <f t="shared" si="193"/>
        <v>4.544450574933049</v>
      </c>
      <c r="L113" s="17">
        <f t="shared" si="193"/>
        <v>4.8966138891864732</v>
      </c>
      <c r="M113" s="16">
        <f t="shared" si="193"/>
        <v>5.5543367538352104</v>
      </c>
      <c r="N113" s="16">
        <f t="shared" si="193"/>
        <v>5.7401197292702424</v>
      </c>
      <c r="O113" s="16">
        <f t="shared" si="193"/>
        <v>4.1871305107258774</v>
      </c>
      <c r="P113" s="43"/>
      <c r="T113" s="4" t="s">
        <v>136</v>
      </c>
      <c r="U113" s="16">
        <f t="shared" ref="U113:AF113" si="194">U112/U110</f>
        <v>4.8075051868422358</v>
      </c>
      <c r="V113" s="16">
        <f t="shared" si="194"/>
        <v>4.8284107189808338</v>
      </c>
      <c r="W113" s="16">
        <f t="shared" si="194"/>
        <v>4.5339801521339034</v>
      </c>
      <c r="X113" s="16">
        <f t="shared" si="194"/>
        <v>4.6262158051216469</v>
      </c>
      <c r="Y113" s="16">
        <f t="shared" si="194"/>
        <v>4.7476000403852634</v>
      </c>
      <c r="Z113" s="16">
        <f t="shared" si="194"/>
        <v>4.9756592885401636</v>
      </c>
      <c r="AA113" s="16">
        <f t="shared" si="194"/>
        <v>5.0475755602898502</v>
      </c>
      <c r="AB113" s="16">
        <f t="shared" si="194"/>
        <v>5.0373463850060753</v>
      </c>
      <c r="AC113" s="17">
        <f t="shared" si="194"/>
        <v>5.0370916218080648</v>
      </c>
      <c r="AD113" s="16">
        <f t="shared" si="194"/>
        <v>5.0070937426082782</v>
      </c>
      <c r="AE113" s="16">
        <f t="shared" si="194"/>
        <v>4.9309659632679885</v>
      </c>
      <c r="AF113" s="16">
        <f t="shared" si="194"/>
        <v>4.8888618050176449</v>
      </c>
      <c r="AG113" s="32"/>
      <c r="AJ113" s="4" t="s">
        <v>136</v>
      </c>
      <c r="AK113" s="16">
        <f t="shared" ref="AK113:AV113" si="195">AK112/AK110</f>
        <v>5.1744283833867764</v>
      </c>
      <c r="AL113" s="16">
        <f t="shared" si="195"/>
        <v>5.2032173569682572</v>
      </c>
      <c r="AM113" s="16">
        <f t="shared" si="195"/>
        <v>5.2126993038744889</v>
      </c>
      <c r="AN113" s="16">
        <f t="shared" si="195"/>
        <v>5.2548869976195363</v>
      </c>
      <c r="AO113" s="16">
        <f t="shared" si="195"/>
        <v>5.443876775196439</v>
      </c>
      <c r="AP113" s="16">
        <f t="shared" si="195"/>
        <v>5.4739444520706728</v>
      </c>
      <c r="AQ113" s="16">
        <f t="shared" si="195"/>
        <v>5.558128963022325</v>
      </c>
      <c r="AR113" s="16">
        <f t="shared" si="195"/>
        <v>5.5408965718618877</v>
      </c>
      <c r="AS113" s="17">
        <f t="shared" si="195"/>
        <v>5.6113498684828382</v>
      </c>
      <c r="AT113" s="16">
        <f t="shared" si="195"/>
        <v>5.5514939712333025</v>
      </c>
      <c r="AU113" s="16">
        <f t="shared" si="195"/>
        <v>5.5607391840209131</v>
      </c>
      <c r="AV113" s="16">
        <f t="shared" si="195"/>
        <v>5.5947301794871196</v>
      </c>
      <c r="AW113" s="32"/>
    </row>
    <row r="114" spans="1:50" s="16" customFormat="1">
      <c r="A114" s="175"/>
      <c r="C114" s="7" t="s">
        <v>203</v>
      </c>
      <c r="D114" s="32">
        <f t="shared" ref="D114:P114" si="196">D112-D111</f>
        <v>-70341.777919790708</v>
      </c>
      <c r="E114" s="32">
        <f t="shared" si="196"/>
        <v>-98254.417924509151</v>
      </c>
      <c r="F114" s="32">
        <f t="shared" si="196"/>
        <v>-245382.48790697439</v>
      </c>
      <c r="G114" s="32">
        <f t="shared" si="196"/>
        <v>-228371.84022619482</v>
      </c>
      <c r="H114" s="32">
        <f t="shared" si="196"/>
        <v>301979.76407256722</v>
      </c>
      <c r="I114" s="32">
        <f t="shared" si="196"/>
        <v>817343.43558392115</v>
      </c>
      <c r="J114" s="32">
        <f t="shared" si="196"/>
        <v>530707.9377715569</v>
      </c>
      <c r="K114" s="32">
        <f t="shared" si="196"/>
        <v>-541926.55772223137</v>
      </c>
      <c r="L114" s="39">
        <f t="shared" si="196"/>
        <v>812304.78932799399</v>
      </c>
      <c r="M114" s="32">
        <f t="shared" si="196"/>
        <v>486032.42854410922</v>
      </c>
      <c r="N114" s="32">
        <f t="shared" si="196"/>
        <v>287436.04890945717</v>
      </c>
      <c r="O114" s="32">
        <f t="shared" si="196"/>
        <v>-194096.31911739777</v>
      </c>
      <c r="P114" s="43">
        <f t="shared" si="196"/>
        <v>1857431.0033925101</v>
      </c>
      <c r="Q114" s="175"/>
      <c r="R114" s="175"/>
      <c r="T114" s="7" t="s">
        <v>203</v>
      </c>
      <c r="U114" s="32">
        <f t="shared" ref="U114:AG114" si="197">U112-U111</f>
        <v>-29973.631058478728</v>
      </c>
      <c r="V114" s="32">
        <f t="shared" si="197"/>
        <v>-28269.086116231512</v>
      </c>
      <c r="W114" s="32">
        <f t="shared" si="197"/>
        <v>6154.9158279516269</v>
      </c>
      <c r="X114" s="32">
        <f t="shared" si="197"/>
        <v>64229.927558905911</v>
      </c>
      <c r="Y114" s="32">
        <f t="shared" si="197"/>
        <v>48760.191681257449</v>
      </c>
      <c r="Z114" s="32">
        <f t="shared" si="197"/>
        <v>38124.157688932493</v>
      </c>
      <c r="AA114" s="32">
        <f t="shared" si="197"/>
        <v>-31120.977196527645</v>
      </c>
      <c r="AB114" s="32">
        <f t="shared" si="197"/>
        <v>-44591.860026584938</v>
      </c>
      <c r="AC114" s="39">
        <f t="shared" si="197"/>
        <v>6042.0284897871315</v>
      </c>
      <c r="AD114" s="32">
        <f t="shared" si="197"/>
        <v>19236.69169959845</v>
      </c>
      <c r="AE114" s="32">
        <f t="shared" si="197"/>
        <v>-34603.729882220272</v>
      </c>
      <c r="AF114" s="32">
        <f t="shared" si="197"/>
        <v>-40883.025475579081</v>
      </c>
      <c r="AG114" s="32">
        <f t="shared" si="197"/>
        <v>-26894.396809190512</v>
      </c>
      <c r="AH114" s="175"/>
      <c r="AJ114" s="7" t="s">
        <v>203</v>
      </c>
      <c r="AK114" s="32">
        <f t="shared" ref="AK114:AW114" si="198">AK112-AK111</f>
        <v>22495.892251102487</v>
      </c>
      <c r="AL114" s="32">
        <f t="shared" si="198"/>
        <v>23028.472496024566</v>
      </c>
      <c r="AM114" s="32">
        <f t="shared" si="198"/>
        <v>28631.494303248823</v>
      </c>
      <c r="AN114" s="32">
        <f t="shared" si="198"/>
        <v>71111.95423040539</v>
      </c>
      <c r="AO114" s="32">
        <f t="shared" si="198"/>
        <v>131892.78229146451</v>
      </c>
      <c r="AP114" s="32">
        <f t="shared" si="198"/>
        <v>-221854.10490657948</v>
      </c>
      <c r="AQ114" s="32">
        <f t="shared" si="198"/>
        <v>-372516.19687201641</v>
      </c>
      <c r="AR114" s="32">
        <f t="shared" si="198"/>
        <v>-283575.77472331189</v>
      </c>
      <c r="AS114" s="39">
        <f t="shared" si="198"/>
        <v>-27002.414974536747</v>
      </c>
      <c r="AT114" s="32">
        <f t="shared" si="198"/>
        <v>84424.365220012143</v>
      </c>
      <c r="AU114" s="32">
        <f t="shared" si="198"/>
        <v>44931.504890853073</v>
      </c>
      <c r="AV114" s="32">
        <f t="shared" si="198"/>
        <v>25632.233762278222</v>
      </c>
      <c r="AW114" s="32">
        <f t="shared" si="198"/>
        <v>-472799.79203104973</v>
      </c>
    </row>
    <row r="115" spans="1:50" s="16" customFormat="1">
      <c r="C115" s="7" t="s">
        <v>204</v>
      </c>
      <c r="D115" s="16">
        <f t="shared" ref="D115:P115" si="199">D114/D110</f>
        <v>-0.29483419420083556</v>
      </c>
      <c r="E115" s="16">
        <f t="shared" si="199"/>
        <v>-0.38565399433029396</v>
      </c>
      <c r="F115" s="16">
        <f t="shared" si="199"/>
        <v>-0.87674177471407166</v>
      </c>
      <c r="G115" s="16">
        <f t="shared" si="199"/>
        <v>-0.45229042888954318</v>
      </c>
      <c r="H115" s="16">
        <f t="shared" si="199"/>
        <v>0.25536768016874273</v>
      </c>
      <c r="I115" s="16">
        <f t="shared" si="199"/>
        <v>0.3178817867670356</v>
      </c>
      <c r="J115" s="16">
        <f t="shared" si="199"/>
        <v>0.20761239450207292</v>
      </c>
      <c r="K115" s="16">
        <f t="shared" si="199"/>
        <v>-0.32954593466555515</v>
      </c>
      <c r="L115" s="17">
        <f t="shared" si="199"/>
        <v>0.60677095724930086</v>
      </c>
      <c r="M115" s="16">
        <f t="shared" si="199"/>
        <v>0.76522680619123096</v>
      </c>
      <c r="N115" s="16">
        <f t="shared" si="199"/>
        <v>0.79799058441858428</v>
      </c>
      <c r="O115" s="16">
        <f t="shared" si="199"/>
        <v>-0.69803528334043996</v>
      </c>
      <c r="P115" s="34">
        <f t="shared" si="199"/>
        <v>0.15681462911299929</v>
      </c>
      <c r="T115" s="7" t="s">
        <v>204</v>
      </c>
      <c r="U115" s="16">
        <f t="shared" ref="U115:AG115" si="200">U114/U110</f>
        <v>-0.11228538907399559</v>
      </c>
      <c r="V115" s="16">
        <f t="shared" si="200"/>
        <v>-0.10589992674342488</v>
      </c>
      <c r="W115" s="16">
        <f t="shared" si="200"/>
        <v>1.9634602395683261E-2</v>
      </c>
      <c r="X115" s="16">
        <f t="shared" si="200"/>
        <v>8.8414758001227819E-2</v>
      </c>
      <c r="Y115" s="16">
        <f t="shared" si="200"/>
        <v>4.0025869355595191E-2</v>
      </c>
      <c r="Z115" s="16">
        <f t="shared" si="200"/>
        <v>2.1243930774020356E-2</v>
      </c>
      <c r="AA115" s="16">
        <f t="shared" si="200"/>
        <v>-1.5181856813117891E-2</v>
      </c>
      <c r="AB115" s="16">
        <f t="shared" si="200"/>
        <v>-2.6527960543662753E-2</v>
      </c>
      <c r="AC115" s="17">
        <f t="shared" si="200"/>
        <v>4.4912727679255549E-3</v>
      </c>
      <c r="AD115" s="16">
        <f t="shared" si="200"/>
        <v>2.4755173672849781E-2</v>
      </c>
      <c r="AE115" s="16">
        <f t="shared" si="200"/>
        <v>-8.0412745283495637E-2</v>
      </c>
      <c r="AF115" s="16">
        <f t="shared" si="200"/>
        <v>-0.158258613830524</v>
      </c>
      <c r="AG115" s="16">
        <f t="shared" si="200"/>
        <v>-2.4167224116826229E-3</v>
      </c>
      <c r="AJ115" s="7" t="s">
        <v>204</v>
      </c>
      <c r="AK115" s="16">
        <f t="shared" ref="AK115:AW115" si="201">AK114/AK110</f>
        <v>8.3747755114525618E-2</v>
      </c>
      <c r="AL115" s="16">
        <f t="shared" si="201"/>
        <v>8.5730445973492664E-2</v>
      </c>
      <c r="AM115" s="16">
        <f t="shared" si="201"/>
        <v>9.0744679092638697E-2</v>
      </c>
      <c r="AN115" s="16">
        <f t="shared" si="201"/>
        <v>9.7190662541001532E-2</v>
      </c>
      <c r="AO115" s="16">
        <f t="shared" si="201"/>
        <v>0.10747188863448343</v>
      </c>
      <c r="AP115" s="16">
        <f t="shared" si="201"/>
        <v>-0.1227047625890141</v>
      </c>
      <c r="AQ115" s="16">
        <f t="shared" si="201"/>
        <v>-0.18037016437732664</v>
      </c>
      <c r="AR115" s="16">
        <f t="shared" si="201"/>
        <v>-0.16744548747493532</v>
      </c>
      <c r="AS115" s="17">
        <f t="shared" si="201"/>
        <v>-1.9924128026759049E-2</v>
      </c>
      <c r="AT115" s="16">
        <f t="shared" si="201"/>
        <v>0.10786395378129518</v>
      </c>
      <c r="AU115" s="16">
        <f t="shared" si="201"/>
        <v>0.10370602520765056</v>
      </c>
      <c r="AV115" s="16">
        <f t="shared" si="201"/>
        <v>9.8604525036856919E-2</v>
      </c>
      <c r="AW115" s="16">
        <f t="shared" si="201"/>
        <v>-4.2177831297323748E-2</v>
      </c>
    </row>
    <row r="116" spans="1:50" s="99" customFormat="1">
      <c r="A116" s="16"/>
      <c r="B116" s="16"/>
      <c r="C116" s="1"/>
      <c r="D116" s="175">
        <f t="shared" ref="D116:P116" si="202">D114/D112</f>
        <v>-5.8649537539587772E-2</v>
      </c>
      <c r="E116" s="175">
        <f t="shared" si="202"/>
        <v>-7.7132407171010248E-2</v>
      </c>
      <c r="F116" s="129">
        <f t="shared" si="202"/>
        <v>-0.26939391528265405</v>
      </c>
      <c r="G116" s="129">
        <f t="shared" si="202"/>
        <v>-0.11636883132718359</v>
      </c>
      <c r="H116" s="129">
        <f t="shared" si="202"/>
        <v>6.4072107734576486E-2</v>
      </c>
      <c r="I116" s="175">
        <f t="shared" si="202"/>
        <v>6.187903037069057E-2</v>
      </c>
      <c r="J116" s="129">
        <f t="shared" si="202"/>
        <v>4.17738231430319E-2</v>
      </c>
      <c r="K116" s="175">
        <f t="shared" si="202"/>
        <v>-7.2516122517277057E-2</v>
      </c>
      <c r="L116" s="129">
        <f t="shared" si="202"/>
        <v>0.12391643919265813</v>
      </c>
      <c r="M116" s="175">
        <f t="shared" si="202"/>
        <v>0.13777104992109993</v>
      </c>
      <c r="N116" s="175">
        <f t="shared" si="202"/>
        <v>0.13901985011731369</v>
      </c>
      <c r="O116" s="175">
        <f t="shared" si="202"/>
        <v>-0.16670970287463746</v>
      </c>
      <c r="P116" s="171">
        <f t="shared" si="202"/>
        <v>3.2723795792627325E-2</v>
      </c>
      <c r="Q116" s="16"/>
      <c r="R116" s="16"/>
      <c r="S116" s="16"/>
      <c r="T116" s="1"/>
      <c r="U116" s="175">
        <f t="shared" ref="U116:AG116" si="203">U114/U112</f>
        <v>-2.3356269979970461E-2</v>
      </c>
      <c r="V116" s="175">
        <f t="shared" si="203"/>
        <v>-2.1932667477338779E-2</v>
      </c>
      <c r="W116" s="175">
        <f t="shared" si="203"/>
        <v>4.3305444084139394E-3</v>
      </c>
      <c r="X116" s="175">
        <f t="shared" si="203"/>
        <v>1.91116804156314E-2</v>
      </c>
      <c r="Y116" s="175">
        <f t="shared" si="203"/>
        <v>8.4307584916835428E-3</v>
      </c>
      <c r="Z116" s="175">
        <f t="shared" si="203"/>
        <v>4.2695710341238476E-3</v>
      </c>
      <c r="AA116" s="175">
        <f t="shared" si="203"/>
        <v>-3.0077522628004193E-3</v>
      </c>
      <c r="AB116" s="175">
        <f t="shared" si="203"/>
        <v>-5.2662569766146351E-3</v>
      </c>
      <c r="AC116" s="129">
        <f t="shared" si="203"/>
        <v>8.9164007827068504E-4</v>
      </c>
      <c r="AD116" s="175">
        <f t="shared" si="203"/>
        <v>4.9440204129180942E-3</v>
      </c>
      <c r="AE116" s="175">
        <f t="shared" si="203"/>
        <v>-1.6307706417466778E-2</v>
      </c>
      <c r="AF116" s="175">
        <f t="shared" si="203"/>
        <v>-3.2371259434679979E-2</v>
      </c>
      <c r="AG116" s="175">
        <f t="shared" si="203"/>
        <v>-4.8957993248217445E-4</v>
      </c>
      <c r="AJ116" s="1"/>
      <c r="AK116" s="175">
        <f t="shared" ref="AK116:AW116" si="204">AK114/AK112</f>
        <v>1.6184928828739703E-2</v>
      </c>
      <c r="AL116" s="175">
        <f t="shared" si="204"/>
        <v>1.647642988788094E-2</v>
      </c>
      <c r="AM116" s="175">
        <f t="shared" si="204"/>
        <v>1.7408385522101784E-2</v>
      </c>
      <c r="AN116" s="175">
        <f t="shared" si="204"/>
        <v>1.8495290685609206E-2</v>
      </c>
      <c r="AO116" s="175">
        <f t="shared" si="204"/>
        <v>1.974179304060485E-2</v>
      </c>
      <c r="AP116" s="175">
        <f t="shared" si="204"/>
        <v>-2.2416150485889127E-2</v>
      </c>
      <c r="AQ116" s="175">
        <f t="shared" si="204"/>
        <v>-3.2451597574887393E-2</v>
      </c>
      <c r="AR116" s="175">
        <f t="shared" si="204"/>
        <v>-3.0219926559406828E-2</v>
      </c>
      <c r="AS116" s="129">
        <f t="shared" si="204"/>
        <v>-3.5506836133434696E-3</v>
      </c>
      <c r="AT116" s="175">
        <f t="shared" si="204"/>
        <v>1.9429716458348682E-2</v>
      </c>
      <c r="AU116" s="175">
        <f t="shared" si="204"/>
        <v>1.864968339203095E-2</v>
      </c>
      <c r="AV116" s="175">
        <f t="shared" si="204"/>
        <v>1.7624536282086833E-2</v>
      </c>
      <c r="AW116" s="175">
        <f t="shared" si="204"/>
        <v>-7.6838621402019929E-3</v>
      </c>
      <c r="AX116" s="16"/>
    </row>
    <row r="119" spans="1:50">
      <c r="C119" s="1" t="s">
        <v>376</v>
      </c>
      <c r="D119" s="16">
        <f>+'GAS '!C89</f>
        <v>5.0098536103439963</v>
      </c>
      <c r="E119" s="16">
        <f>+'GAS '!D89</f>
        <v>5.0885413526237153</v>
      </c>
      <c r="F119" s="16">
        <f>+'GAS '!E89</f>
        <v>3.9111619230301686</v>
      </c>
      <c r="G119" s="16">
        <f>+'GAS '!F89</f>
        <v>4.1438399912082433</v>
      </c>
      <c r="H119" s="16">
        <f>+'GAS '!G89</f>
        <v>4.0100972291387569</v>
      </c>
      <c r="I119" s="16">
        <f>+'GAS '!H89</f>
        <v>4.5651123512526235</v>
      </c>
      <c r="J119" s="16">
        <f>+'GAS '!I89</f>
        <v>4.65594196701079</v>
      </c>
    </row>
    <row r="120" spans="1:50">
      <c r="C120" s="1" t="s">
        <v>377</v>
      </c>
      <c r="D120" s="29">
        <f t="shared" ref="D120:J120" si="205">D119-D103</f>
        <v>-0.31203120640993021</v>
      </c>
      <c r="E120" s="29">
        <f t="shared" si="205"/>
        <v>-0.2970083855961807</v>
      </c>
      <c r="F120" s="29">
        <f t="shared" si="205"/>
        <v>-0.22007716946546818</v>
      </c>
      <c r="G120" s="29">
        <f t="shared" si="205"/>
        <v>-0.1951477923868703</v>
      </c>
      <c r="H120" s="29">
        <f t="shared" si="205"/>
        <v>0.27983544903404489</v>
      </c>
      <c r="I120" s="29">
        <f t="shared" si="205"/>
        <v>-0.25415466445418389</v>
      </c>
      <c r="J120" s="29">
        <f t="shared" si="205"/>
        <v>-0.10636169791067562</v>
      </c>
    </row>
    <row r="121" spans="1:50">
      <c r="D121" s="29"/>
      <c r="E121" s="29"/>
      <c r="F121" s="29"/>
      <c r="G121" s="29"/>
      <c r="H121" s="29"/>
      <c r="I121" s="29"/>
      <c r="J121" s="29"/>
    </row>
    <row r="122" spans="1:50">
      <c r="C122" s="446"/>
      <c r="D122" s="369"/>
      <c r="E122" s="369"/>
      <c r="F122" s="369"/>
      <c r="G122" s="369"/>
      <c r="H122" s="369"/>
      <c r="I122" s="369"/>
      <c r="J122" s="369"/>
      <c r="K122" s="369"/>
      <c r="L122" s="447"/>
      <c r="M122" s="369"/>
      <c r="N122" s="369"/>
      <c r="O122" s="369"/>
    </row>
    <row r="123" spans="1:50">
      <c r="C123" s="446"/>
      <c r="D123" s="448"/>
      <c r="E123" s="448"/>
      <c r="F123" s="448"/>
      <c r="G123" s="448"/>
      <c r="H123" s="448"/>
      <c r="I123" s="448"/>
      <c r="J123" s="448"/>
      <c r="K123" s="448"/>
      <c r="L123" s="448"/>
      <c r="M123" s="448"/>
      <c r="N123" s="448"/>
      <c r="O123" s="448"/>
    </row>
    <row r="124" spans="1:50">
      <c r="C124" s="449"/>
      <c r="D124" s="244"/>
      <c r="E124" s="244"/>
      <c r="F124" s="244"/>
      <c r="G124" s="244"/>
      <c r="H124" s="244"/>
      <c r="I124" s="244"/>
      <c r="J124" s="244"/>
      <c r="K124" s="244"/>
      <c r="L124" s="244"/>
      <c r="M124" s="244"/>
      <c r="N124" s="244"/>
      <c r="O124" s="244"/>
    </row>
    <row r="125" spans="1:50">
      <c r="C125" s="450"/>
      <c r="D125" s="235"/>
      <c r="E125" s="235"/>
      <c r="F125" s="235"/>
      <c r="G125" s="235"/>
      <c r="H125" s="235"/>
      <c r="I125" s="235"/>
      <c r="J125" s="235"/>
      <c r="K125" s="235"/>
      <c r="L125" s="235"/>
      <c r="M125" s="235"/>
      <c r="N125" s="235"/>
      <c r="O125" s="235"/>
    </row>
    <row r="126" spans="1:50">
      <c r="C126" s="450"/>
      <c r="D126" s="235"/>
      <c r="E126" s="235"/>
      <c r="F126" s="235"/>
      <c r="G126" s="235"/>
      <c r="H126" s="235"/>
      <c r="I126" s="235"/>
      <c r="J126" s="235"/>
      <c r="K126" s="235"/>
      <c r="L126" s="235"/>
      <c r="M126" s="235"/>
      <c r="N126" s="235"/>
      <c r="O126" s="235"/>
    </row>
    <row r="127" spans="1:50">
      <c r="C127" s="358"/>
      <c r="D127" s="165"/>
      <c r="E127" s="165"/>
      <c r="F127" s="165"/>
      <c r="G127" s="165"/>
      <c r="H127" s="165"/>
      <c r="I127" s="165"/>
      <c r="J127" s="165"/>
      <c r="K127" s="165"/>
      <c r="L127" s="165"/>
      <c r="M127" s="165"/>
      <c r="N127" s="165"/>
      <c r="O127" s="165"/>
    </row>
    <row r="128" spans="1:50">
      <c r="C128" s="358"/>
      <c r="D128" s="165"/>
      <c r="E128" s="165"/>
      <c r="F128" s="165"/>
      <c r="G128" s="165"/>
      <c r="H128" s="165"/>
      <c r="I128" s="165"/>
      <c r="J128" s="165"/>
      <c r="K128" s="165"/>
      <c r="L128" s="165"/>
      <c r="M128" s="165"/>
      <c r="N128" s="165"/>
      <c r="O128" s="165"/>
    </row>
    <row r="130" spans="1:50" ht="21" thickBot="1">
      <c r="C130" s="33" t="s">
        <v>872</v>
      </c>
    </row>
    <row r="131" spans="1:50" s="33" customFormat="1" ht="21" thickBot="1">
      <c r="A131" s="11"/>
      <c r="B131" s="11"/>
      <c r="C131" s="245" t="s">
        <v>590</v>
      </c>
      <c r="D131" s="293">
        <f>+D7</f>
        <v>40360</v>
      </c>
      <c r="E131" s="293">
        <f t="shared" ref="E131:O131" si="206">+E7</f>
        <v>40391</v>
      </c>
      <c r="F131" s="293">
        <f t="shared" si="206"/>
        <v>40422</v>
      </c>
      <c r="G131" s="293">
        <f t="shared" si="206"/>
        <v>40452</v>
      </c>
      <c r="H131" s="293">
        <f t="shared" si="206"/>
        <v>40483</v>
      </c>
      <c r="I131" s="293">
        <f t="shared" si="206"/>
        <v>40513</v>
      </c>
      <c r="J131" s="293">
        <f t="shared" si="206"/>
        <v>40544</v>
      </c>
      <c r="K131" s="293">
        <f t="shared" si="206"/>
        <v>40575</v>
      </c>
      <c r="L131" s="293">
        <f t="shared" si="206"/>
        <v>40603</v>
      </c>
      <c r="M131" s="293">
        <f t="shared" si="206"/>
        <v>40634</v>
      </c>
      <c r="N131" s="293">
        <f t="shared" si="206"/>
        <v>40664</v>
      </c>
      <c r="O131" s="294">
        <f t="shared" si="206"/>
        <v>40695</v>
      </c>
      <c r="Q131" s="11"/>
      <c r="R131" s="11"/>
      <c r="S131" s="11"/>
      <c r="AX131" s="11"/>
    </row>
    <row r="132" spans="1:50" s="16" customFormat="1">
      <c r="C132" s="236" t="s">
        <v>158</v>
      </c>
      <c r="D132" s="237">
        <f>D76</f>
        <v>7.35</v>
      </c>
      <c r="E132" s="237">
        <f t="shared" ref="E132:O132" si="207">E76</f>
        <v>7.35</v>
      </c>
      <c r="F132" s="237">
        <f t="shared" si="207"/>
        <v>7.35</v>
      </c>
      <c r="G132" s="237">
        <f t="shared" si="207"/>
        <v>7.35</v>
      </c>
      <c r="H132" s="237">
        <f t="shared" si="207"/>
        <v>7.35</v>
      </c>
      <c r="I132" s="237">
        <f t="shared" si="207"/>
        <v>6.95</v>
      </c>
      <c r="J132" s="237">
        <f t="shared" si="207"/>
        <v>6.95</v>
      </c>
      <c r="K132" s="237">
        <f t="shared" si="207"/>
        <v>6.5</v>
      </c>
      <c r="L132" s="237">
        <f t="shared" si="207"/>
        <v>6.5</v>
      </c>
      <c r="M132" s="237">
        <f t="shared" si="207"/>
        <v>6.5</v>
      </c>
      <c r="N132" s="237">
        <f t="shared" si="207"/>
        <v>6.5</v>
      </c>
      <c r="O132" s="238">
        <f t="shared" si="207"/>
        <v>6.5</v>
      </c>
      <c r="P132" s="34"/>
    </row>
    <row r="133" spans="1:50" s="110" customFormat="1">
      <c r="A133" s="30"/>
      <c r="B133" s="30"/>
      <c r="C133" s="239" t="s">
        <v>479</v>
      </c>
      <c r="D133" s="235">
        <f>D89</f>
        <v>-930597.63369821431</v>
      </c>
      <c r="E133" s="235">
        <f t="shared" ref="E133:O133" si="208">E89</f>
        <v>-965290.25284585753</v>
      </c>
      <c r="F133" s="235">
        <f t="shared" si="208"/>
        <v>-317827.50258370442</v>
      </c>
      <c r="G133" s="235">
        <f t="shared" si="208"/>
        <v>159673.31093399925</v>
      </c>
      <c r="H133" s="235">
        <f t="shared" si="208"/>
        <v>2295180.9274364533</v>
      </c>
      <c r="I133" s="235">
        <f t="shared" si="208"/>
        <v>5143681.6919330489</v>
      </c>
      <c r="J133" s="235">
        <f t="shared" si="208"/>
        <v>3296604.7330729365</v>
      </c>
      <c r="K133" s="235">
        <f t="shared" si="208"/>
        <v>1554894.8805280682</v>
      </c>
      <c r="L133" s="235">
        <f t="shared" si="208"/>
        <v>421255.90597661398</v>
      </c>
      <c r="M133" s="235">
        <f t="shared" si="208"/>
        <v>-983724.38606227702</v>
      </c>
      <c r="N133" s="235">
        <f t="shared" si="208"/>
        <v>-1414461.0637711952</v>
      </c>
      <c r="O133" s="240">
        <f t="shared" si="208"/>
        <v>-1020490.7584578972</v>
      </c>
      <c r="P133" s="234"/>
      <c r="Q133" s="30"/>
      <c r="R133" s="30"/>
      <c r="S133" s="30"/>
      <c r="AX133" s="30"/>
    </row>
    <row r="134" spans="1:50" s="110" customFormat="1">
      <c r="A134" s="30"/>
      <c r="B134" s="30"/>
      <c r="C134" s="239" t="s">
        <v>78</v>
      </c>
      <c r="D134" s="235">
        <f>D90</f>
        <v>188731.46197048761</v>
      </c>
      <c r="E134" s="235">
        <f t="shared" ref="E134:O134" si="209">E90</f>
        <v>-776558.79087536992</v>
      </c>
      <c r="F134" s="235">
        <f t="shared" si="209"/>
        <v>-1094386.2934590743</v>
      </c>
      <c r="G134" s="235">
        <f t="shared" si="209"/>
        <v>-934712.98252507509</v>
      </c>
      <c r="H134" s="235">
        <f t="shared" si="209"/>
        <v>1360467.9449113782</v>
      </c>
      <c r="I134" s="235">
        <f t="shared" si="209"/>
        <v>6504149.6368444273</v>
      </c>
      <c r="J134" s="235">
        <f t="shared" si="209"/>
        <v>9800754.3699173629</v>
      </c>
      <c r="K134" s="235">
        <f t="shared" si="209"/>
        <v>11355649.250445431</v>
      </c>
      <c r="L134" s="235">
        <f t="shared" si="209"/>
        <v>11776905.156422045</v>
      </c>
      <c r="M134" s="235">
        <f t="shared" si="209"/>
        <v>10793180.770359768</v>
      </c>
      <c r="N134" s="235">
        <f t="shared" si="209"/>
        <v>9378719.7065885719</v>
      </c>
      <c r="O134" s="240">
        <f t="shared" si="209"/>
        <v>8358228.9481306747</v>
      </c>
      <c r="P134" s="234"/>
      <c r="Q134" s="30"/>
      <c r="R134" s="30"/>
      <c r="S134" s="30"/>
      <c r="AX134" s="30"/>
    </row>
    <row r="135" spans="1:50" s="103" customFormat="1" ht="21" thickBot="1">
      <c r="A135" s="124"/>
      <c r="B135" s="124"/>
      <c r="C135" s="334" t="s">
        <v>727</v>
      </c>
      <c r="D135" s="306">
        <f>D91</f>
        <v>2.5630207287047498E-3</v>
      </c>
      <c r="E135" s="306">
        <f t="shared" ref="E135:O135" si="210">E91</f>
        <v>-1.0545863722407362E-2</v>
      </c>
      <c r="F135" s="306">
        <f t="shared" si="210"/>
        <v>-1.4862041156575054E-2</v>
      </c>
      <c r="G135" s="306">
        <f t="shared" si="210"/>
        <v>-1.2693637428484644E-2</v>
      </c>
      <c r="H135" s="306">
        <f t="shared" si="210"/>
        <v>1.8475496915779044E-2</v>
      </c>
      <c r="I135" s="306">
        <f t="shared" si="210"/>
        <v>8.8327988178444283E-2</v>
      </c>
      <c r="J135" s="306">
        <f t="shared" si="210"/>
        <v>0.1330967097100634</v>
      </c>
      <c r="K135" s="306">
        <f t="shared" si="210"/>
        <v>0.15421257331935134</v>
      </c>
      <c r="L135" s="306">
        <f t="shared" si="210"/>
        <v>0.15993333448887059</v>
      </c>
      <c r="M135" s="306">
        <f t="shared" si="210"/>
        <v>0.14657410987159805</v>
      </c>
      <c r="N135" s="306">
        <f t="shared" si="210"/>
        <v>0.12736537281980623</v>
      </c>
      <c r="O135" s="307">
        <f t="shared" si="210"/>
        <v>0.11350685161686966</v>
      </c>
      <c r="P135" s="204"/>
      <c r="Q135" s="124"/>
      <c r="R135" s="124"/>
      <c r="S135" s="124"/>
      <c r="AX135" s="124"/>
    </row>
    <row r="137" spans="1:50"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</row>
    <row r="138" spans="1:50" ht="21" thickBot="1">
      <c r="C138" s="33" t="s">
        <v>907</v>
      </c>
    </row>
    <row r="139" spans="1:50" ht="21" thickBot="1">
      <c r="C139" s="245" t="s">
        <v>590</v>
      </c>
      <c r="D139" s="293">
        <f>U7</f>
        <v>40725</v>
      </c>
      <c r="E139" s="293">
        <f t="shared" ref="E139:O139" si="211">V7</f>
        <v>40756</v>
      </c>
      <c r="F139" s="293">
        <f t="shared" si="211"/>
        <v>40787</v>
      </c>
      <c r="G139" s="293">
        <f t="shared" si="211"/>
        <v>40817</v>
      </c>
      <c r="H139" s="293">
        <f t="shared" si="211"/>
        <v>40848</v>
      </c>
      <c r="I139" s="293">
        <f t="shared" si="211"/>
        <v>40878</v>
      </c>
      <c r="J139" s="293">
        <f t="shared" si="211"/>
        <v>40909</v>
      </c>
      <c r="K139" s="293">
        <f t="shared" si="211"/>
        <v>40940</v>
      </c>
      <c r="L139" s="293">
        <f t="shared" si="211"/>
        <v>40969</v>
      </c>
      <c r="M139" s="293">
        <f t="shared" si="211"/>
        <v>41000</v>
      </c>
      <c r="N139" s="293">
        <f t="shared" si="211"/>
        <v>40664</v>
      </c>
      <c r="O139" s="294">
        <f t="shared" si="211"/>
        <v>41061</v>
      </c>
    </row>
    <row r="140" spans="1:50">
      <c r="C140" s="236" t="s">
        <v>158</v>
      </c>
      <c r="D140" s="237">
        <f>U76</f>
        <v>6.5</v>
      </c>
      <c r="E140" s="237">
        <f t="shared" ref="E140:O140" si="212">V76</f>
        <v>6.5</v>
      </c>
      <c r="F140" s="237">
        <f t="shared" si="212"/>
        <v>6.5</v>
      </c>
      <c r="G140" s="237">
        <f t="shared" si="212"/>
        <v>6.5</v>
      </c>
      <c r="H140" s="237">
        <f t="shared" si="212"/>
        <v>6.5</v>
      </c>
      <c r="I140" s="237">
        <f t="shared" si="212"/>
        <v>6.5</v>
      </c>
      <c r="J140" s="237">
        <f t="shared" si="212"/>
        <v>6.5</v>
      </c>
      <c r="K140" s="237">
        <f t="shared" si="212"/>
        <v>6.5</v>
      </c>
      <c r="L140" s="237">
        <f t="shared" si="212"/>
        <v>6.5</v>
      </c>
      <c r="M140" s="237">
        <f t="shared" si="212"/>
        <v>6.5</v>
      </c>
      <c r="N140" s="237">
        <f t="shared" si="212"/>
        <v>6.5</v>
      </c>
      <c r="O140" s="238">
        <f t="shared" si="212"/>
        <v>6.5</v>
      </c>
    </row>
    <row r="141" spans="1:50">
      <c r="C141" s="239" t="s">
        <v>479</v>
      </c>
      <c r="D141" s="235">
        <f>U89</f>
        <v>-1269701.067704991</v>
      </c>
      <c r="E141" s="235">
        <f t="shared" ref="E141:O141" si="213">V89</f>
        <v>-1295281.6219745283</v>
      </c>
      <c r="F141" s="235">
        <f t="shared" si="213"/>
        <v>-1008352.6665591421</v>
      </c>
      <c r="G141" s="235">
        <f t="shared" si="213"/>
        <v>-403345.03458913974</v>
      </c>
      <c r="H141" s="235">
        <f t="shared" si="213"/>
        <v>303346.9116845727</v>
      </c>
      <c r="I141" s="235">
        <f t="shared" si="213"/>
        <v>873505.7778435424</v>
      </c>
      <c r="J141" s="235">
        <f t="shared" si="213"/>
        <v>1089104.8451779485</v>
      </c>
      <c r="K141" s="235">
        <f t="shared" si="213"/>
        <v>613042.78444460221</v>
      </c>
      <c r="L141" s="235">
        <f t="shared" si="213"/>
        <v>111948.94843933918</v>
      </c>
      <c r="M141" s="235">
        <f t="shared" si="213"/>
        <v>-566992.05239057541</v>
      </c>
      <c r="N141" s="235">
        <f t="shared" si="213"/>
        <v>-1048023.6520026708</v>
      </c>
      <c r="O141" s="240">
        <f t="shared" si="213"/>
        <v>-1292796.7234129687</v>
      </c>
    </row>
    <row r="142" spans="1:50">
      <c r="C142" s="239" t="s">
        <v>78</v>
      </c>
      <c r="D142" s="235">
        <f>U90</f>
        <v>7088527.8804256842</v>
      </c>
      <c r="E142" s="235">
        <f t="shared" ref="E142:O142" si="214">V90</f>
        <v>5793246.2584511563</v>
      </c>
      <c r="F142" s="235">
        <f t="shared" si="214"/>
        <v>4784893.5918920143</v>
      </c>
      <c r="G142" s="235">
        <f t="shared" si="214"/>
        <v>4381548.5573028745</v>
      </c>
      <c r="H142" s="235">
        <f t="shared" si="214"/>
        <v>4684895.4689874472</v>
      </c>
      <c r="I142" s="235">
        <f t="shared" si="214"/>
        <v>5558401.2468309896</v>
      </c>
      <c r="J142" s="235">
        <f t="shared" si="214"/>
        <v>6647506.0920089381</v>
      </c>
      <c r="K142" s="235">
        <f t="shared" si="214"/>
        <v>7260548.8764535403</v>
      </c>
      <c r="L142" s="235">
        <f t="shared" si="214"/>
        <v>7372497.8248928795</v>
      </c>
      <c r="M142" s="235">
        <f t="shared" si="214"/>
        <v>6805505.7725023041</v>
      </c>
      <c r="N142" s="235">
        <f t="shared" si="214"/>
        <v>5757482.1204996333</v>
      </c>
      <c r="O142" s="240">
        <f t="shared" si="214"/>
        <v>4464685.397086665</v>
      </c>
    </row>
    <row r="143" spans="1:50" ht="21" thickBot="1">
      <c r="C143" s="295" t="s">
        <v>727</v>
      </c>
      <c r="D143" s="306">
        <f>U91</f>
        <v>9.6678758097484774E-2</v>
      </c>
      <c r="E143" s="306">
        <f t="shared" ref="E143:O143" si="215">V91</f>
        <v>7.9012717882732467E-2</v>
      </c>
      <c r="F143" s="306">
        <f t="shared" si="215"/>
        <v>6.5260033944446155E-2</v>
      </c>
      <c r="G143" s="306">
        <f t="shared" si="215"/>
        <v>5.9758906250987273E-2</v>
      </c>
      <c r="H143" s="306">
        <f t="shared" si="215"/>
        <v>6.3896183156585157E-2</v>
      </c>
      <c r="I143" s="306">
        <f t="shared" si="215"/>
        <v>7.5809722218213235E-2</v>
      </c>
      <c r="J143" s="306">
        <f t="shared" si="215"/>
        <v>9.0663766054383407E-2</v>
      </c>
      <c r="K143" s="306">
        <f t="shared" si="215"/>
        <v>9.9024911846641889E-2</v>
      </c>
      <c r="L143" s="306">
        <f t="shared" si="215"/>
        <v>0.10055175712227685</v>
      </c>
      <c r="M143" s="306">
        <f t="shared" si="215"/>
        <v>9.2818686391521257E-2</v>
      </c>
      <c r="N143" s="306">
        <f t="shared" si="215"/>
        <v>7.8524939249438472E-2</v>
      </c>
      <c r="O143" s="307">
        <f t="shared" si="215"/>
        <v>6.0892789979460918E-2</v>
      </c>
    </row>
  </sheetData>
  <phoneticPr fontId="0" type="noConversion"/>
  <printOptions horizontalCentered="1" verticalCentered="1"/>
  <pageMargins left="0.75" right="0.75" top="1" bottom="1" header="0.5" footer="0.5"/>
  <pageSetup scale="35" orientation="landscape" horizontalDpi="1200" verticalDpi="1200" r:id="rId1"/>
  <headerFooter alignWithMargins="0">
    <oddHeader>&amp;L&amp;"Arial Narrow,Regular"&amp;22City of Richmond
Department of Public Utilities
PGC Adjustments 
NYMEX Settlement: 
7-Jun-11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N27"/>
  <sheetViews>
    <sheetView zoomScale="50" workbookViewId="0">
      <pane xSplit="1" ySplit="1" topLeftCell="F8" activePane="bottomRight" state="frozen"/>
      <selection activeCell="I74" sqref="I74"/>
      <selection pane="topRight" activeCell="I74" sqref="I74"/>
      <selection pane="bottomLeft" activeCell="I74" sqref="I74"/>
      <selection pane="bottomRight" activeCell="U1" sqref="U1"/>
    </sheetView>
  </sheetViews>
  <sheetFormatPr defaultRowHeight="20.25"/>
  <cols>
    <col min="1" max="1" width="49.88671875" style="1" bestFit="1" customWidth="1"/>
    <col min="2" max="2" width="15.44140625" style="10" bestFit="1" customWidth="1"/>
    <col min="3" max="7" width="16.77734375" style="10" bestFit="1" customWidth="1"/>
    <col min="8" max="9" width="18.109375" style="10" bestFit="1" customWidth="1"/>
    <col min="10" max="13" width="18.109375" style="1" bestFit="1" customWidth="1"/>
    <col min="14" max="14" width="18.109375" style="10" bestFit="1" customWidth="1"/>
    <col min="15" max="16384" width="8.88671875" style="1"/>
  </cols>
  <sheetData>
    <row r="1" spans="1:14">
      <c r="B1" s="142">
        <v>40360</v>
      </c>
      <c r="C1" s="142">
        <v>40391</v>
      </c>
      <c r="D1" s="142">
        <v>40422</v>
      </c>
      <c r="E1" s="142">
        <v>40452</v>
      </c>
      <c r="F1" s="142">
        <v>40483</v>
      </c>
      <c r="G1" s="142">
        <v>40513</v>
      </c>
      <c r="H1" s="142">
        <v>40544</v>
      </c>
      <c r="I1" s="142">
        <v>40575</v>
      </c>
      <c r="J1" s="142">
        <v>40603</v>
      </c>
      <c r="K1" s="142">
        <v>40634</v>
      </c>
      <c r="L1" s="142">
        <v>40664</v>
      </c>
      <c r="M1" s="142">
        <v>40695</v>
      </c>
      <c r="N1" s="11" t="s">
        <v>306</v>
      </c>
    </row>
    <row r="2" spans="1:14">
      <c r="A2" s="2" t="s">
        <v>142</v>
      </c>
      <c r="B2" s="32">
        <f>+'YR REPORTS'!D78</f>
        <v>1332560.8799999999</v>
      </c>
      <c r="C2" s="32">
        <f>+'YR REPORTS'!E78</f>
        <v>1425449.4450000001</v>
      </c>
      <c r="D2" s="32">
        <f>+'YR REPORTS'!F78</f>
        <v>1574531.7</v>
      </c>
      <c r="E2" s="32">
        <f>+'YR REPORTS'!G78</f>
        <v>3025193.8499999996</v>
      </c>
      <c r="F2" s="32">
        <f>+'YR REPORTS'!H78</f>
        <v>7495690.9649999999</v>
      </c>
      <c r="G2" s="32">
        <f>+'YR REPORTS'!I78</f>
        <v>15964740.75</v>
      </c>
      <c r="H2" s="32">
        <f>+'YR REPORTS'!J78</f>
        <v>15856851.73</v>
      </c>
      <c r="I2" s="32">
        <f>+'YR REPORTS'!K78</f>
        <v>9447341.1500000004</v>
      </c>
      <c r="J2" s="32">
        <f>+'YR REPORTS'!L78</f>
        <v>7494188.6499999994</v>
      </c>
      <c r="K2" s="32">
        <f>+'YR REPORTS'!M78</f>
        <v>3435226.6</v>
      </c>
      <c r="L2" s="32">
        <f>+'YR REPORTS'!N78</f>
        <v>1782552.85</v>
      </c>
      <c r="M2" s="32">
        <f>+'YR REPORTS'!O78</f>
        <v>1399156.2000000002</v>
      </c>
      <c r="N2" s="32">
        <f t="shared" ref="N2:N7" si="0">SUM(B2:M2)</f>
        <v>70233484.769999996</v>
      </c>
    </row>
    <row r="3" spans="1:14">
      <c r="A3" s="1" t="s">
        <v>297</v>
      </c>
      <c r="B3" s="190">
        <v>758096.51</v>
      </c>
      <c r="C3" s="190">
        <v>789407.54</v>
      </c>
      <c r="D3" s="190">
        <v>926137.48</v>
      </c>
      <c r="E3" s="190">
        <v>1979609</v>
      </c>
      <c r="F3" s="190">
        <v>5018640.21</v>
      </c>
      <c r="G3" s="190">
        <v>11225985.9</v>
      </c>
      <c r="H3" s="190">
        <v>10883031.6</v>
      </c>
      <c r="I3" s="190">
        <v>6541663.8200000003</v>
      </c>
      <c r="J3" s="190">
        <v>4965762.29</v>
      </c>
      <c r="K3" s="190">
        <v>2122835.9500000002</v>
      </c>
      <c r="L3" s="190">
        <v>1033292.28</v>
      </c>
      <c r="M3" s="190">
        <v>802994.08</v>
      </c>
      <c r="N3" s="32">
        <f t="shared" si="0"/>
        <v>47047456.660000004</v>
      </c>
    </row>
    <row r="4" spans="1:14">
      <c r="A4" s="1" t="s">
        <v>298</v>
      </c>
      <c r="B4" s="190">
        <v>547736.87</v>
      </c>
      <c r="C4" s="190">
        <v>605986.56999999995</v>
      </c>
      <c r="D4" s="190">
        <v>620616</v>
      </c>
      <c r="E4" s="190">
        <v>967915</v>
      </c>
      <c r="F4" s="190">
        <v>1912798.22</v>
      </c>
      <c r="G4" s="190">
        <v>4298669.34</v>
      </c>
      <c r="H4" s="190">
        <v>4505829.97</v>
      </c>
      <c r="I4" s="190">
        <v>2753948.64</v>
      </c>
      <c r="J4" s="190">
        <v>2315541.6</v>
      </c>
      <c r="K4" s="190">
        <v>1200454.78</v>
      </c>
      <c r="L4" s="190">
        <v>688431.55</v>
      </c>
      <c r="M4" s="190">
        <v>567320.29</v>
      </c>
      <c r="N4" s="32">
        <f t="shared" si="0"/>
        <v>20985248.830000002</v>
      </c>
    </row>
    <row r="5" spans="1:14">
      <c r="A5" s="1" t="s">
        <v>299</v>
      </c>
      <c r="B5" s="319">
        <v>18910.39</v>
      </c>
      <c r="C5" s="190">
        <v>30309.52</v>
      </c>
      <c r="D5" s="190">
        <v>21356.49</v>
      </c>
      <c r="E5" s="190">
        <v>74756</v>
      </c>
      <c r="F5" s="190">
        <v>205883.28</v>
      </c>
      <c r="G5" s="190">
        <v>434218.29</v>
      </c>
      <c r="H5" s="190">
        <v>464997.75</v>
      </c>
      <c r="I5" s="190">
        <v>298759.78000000003</v>
      </c>
      <c r="J5" s="190">
        <v>212086.55</v>
      </c>
      <c r="K5" s="190">
        <v>112736</v>
      </c>
      <c r="L5" s="190">
        <v>41617.550000000003</v>
      </c>
      <c r="M5" s="190">
        <v>27032.85</v>
      </c>
      <c r="N5" s="32">
        <f t="shared" si="0"/>
        <v>1942664.4500000002</v>
      </c>
    </row>
    <row r="6" spans="1:14">
      <c r="A6" s="1" t="s">
        <v>295</v>
      </c>
      <c r="B6" s="32">
        <f>SUM(B3:B5)</f>
        <v>1324743.7699999998</v>
      </c>
      <c r="C6" s="32">
        <f t="shared" ref="C6:M6" si="1">SUM(C3:C5)</f>
        <v>1425703.63</v>
      </c>
      <c r="D6" s="32">
        <f t="shared" si="1"/>
        <v>1568109.97</v>
      </c>
      <c r="E6" s="32">
        <f t="shared" si="1"/>
        <v>3022280</v>
      </c>
      <c r="F6" s="32">
        <f t="shared" si="1"/>
        <v>7137321.71</v>
      </c>
      <c r="G6" s="32">
        <f t="shared" si="1"/>
        <v>15958873.529999999</v>
      </c>
      <c r="H6" s="32">
        <f t="shared" si="1"/>
        <v>15853859.32</v>
      </c>
      <c r="I6" s="32">
        <f t="shared" si="1"/>
        <v>9594372.2400000002</v>
      </c>
      <c r="J6" s="32">
        <f t="shared" si="1"/>
        <v>7493390.4400000004</v>
      </c>
      <c r="K6" s="32">
        <f t="shared" si="1"/>
        <v>3436026.7300000004</v>
      </c>
      <c r="L6" s="32">
        <f t="shared" si="1"/>
        <v>1763341.3800000001</v>
      </c>
      <c r="M6" s="32">
        <f t="shared" si="1"/>
        <v>1397347.2200000002</v>
      </c>
      <c r="N6" s="32">
        <f t="shared" si="0"/>
        <v>69975369.939999998</v>
      </c>
    </row>
    <row r="7" spans="1:14">
      <c r="A7" s="4" t="s">
        <v>296</v>
      </c>
      <c r="B7" s="30">
        <f>B6-B2</f>
        <v>-7817.1100000001024</v>
      </c>
      <c r="C7" s="30">
        <f t="shared" ref="C7:K7" si="2">C6-C2</f>
        <v>254.18499999982305</v>
      </c>
      <c r="D7" s="30">
        <f t="shared" si="2"/>
        <v>-6421.7299999999814</v>
      </c>
      <c r="E7" s="66">
        <f t="shared" si="2"/>
        <v>-2913.8499999996275</v>
      </c>
      <c r="F7" s="30">
        <f t="shared" si="2"/>
        <v>-358369.25499999989</v>
      </c>
      <c r="G7" s="30">
        <f t="shared" si="2"/>
        <v>-5867.2200000006706</v>
      </c>
      <c r="H7" s="66">
        <f t="shared" si="2"/>
        <v>-2992.410000000149</v>
      </c>
      <c r="I7" s="30">
        <f t="shared" si="2"/>
        <v>147031.08999999985</v>
      </c>
      <c r="J7" s="30">
        <f t="shared" si="2"/>
        <v>-798.20999999903142</v>
      </c>
      <c r="K7" s="30">
        <f t="shared" si="2"/>
        <v>800.1300000003539</v>
      </c>
      <c r="L7" s="30">
        <f>L6-L2</f>
        <v>-19211.469999999972</v>
      </c>
      <c r="M7" s="30">
        <f>M6-M2</f>
        <v>-1808.9799999999814</v>
      </c>
      <c r="N7" s="30">
        <f t="shared" si="0"/>
        <v>-258114.82999999938</v>
      </c>
    </row>
    <row r="8" spans="1:14">
      <c r="J8" s="10"/>
      <c r="K8" s="10"/>
      <c r="L8" s="10"/>
      <c r="M8" s="10"/>
    </row>
    <row r="9" spans="1:14">
      <c r="A9" s="33" t="s">
        <v>140</v>
      </c>
      <c r="B9" s="32">
        <f>+'YR REPORTS'!D83</f>
        <v>359145.6</v>
      </c>
      <c r="C9" s="32">
        <f>+'YR REPORTS'!E83</f>
        <v>381434.196</v>
      </c>
      <c r="D9" s="32">
        <f>+'YR REPORTS'!F83</f>
        <v>411675.66</v>
      </c>
      <c r="E9" s="32">
        <f>+'YR REPORTS'!G83</f>
        <v>585191.64</v>
      </c>
      <c r="F9" s="32">
        <f>+'YR REPORTS'!H83</f>
        <v>1020175.3979999999</v>
      </c>
      <c r="G9" s="32">
        <f>+'YR REPORTS'!I83</f>
        <v>1609161.8840000001</v>
      </c>
      <c r="H9" s="32">
        <f>+'YR REPORTS'!J83</f>
        <v>1612386.862</v>
      </c>
      <c r="I9" s="32">
        <f>+'YR REPORTS'!K83</f>
        <v>1035367.9659999999</v>
      </c>
      <c r="J9" s="32">
        <f>+'YR REPORTS'!L83</f>
        <v>1006936.814</v>
      </c>
      <c r="K9" s="32">
        <f>+'YR REPORTS'!M83</f>
        <v>578052.75600000005</v>
      </c>
      <c r="L9" s="32">
        <f>+'YR REPORTS'!N83</f>
        <v>465908.07799999998</v>
      </c>
      <c r="M9" s="32">
        <f>+'YR REPORTS'!O83</f>
        <v>340409.06199999998</v>
      </c>
      <c r="N9" s="32">
        <f>SUM(B9:M9)</f>
        <v>9405845.9160000011</v>
      </c>
    </row>
    <row r="10" spans="1:14">
      <c r="A10" s="1" t="s">
        <v>300</v>
      </c>
      <c r="B10" s="190">
        <v>360273.06</v>
      </c>
      <c r="C10" s="190">
        <v>381434.4</v>
      </c>
      <c r="D10" s="190">
        <v>411678.3</v>
      </c>
      <c r="E10" s="190">
        <v>552241</v>
      </c>
      <c r="F10" s="190">
        <v>969061.26</v>
      </c>
      <c r="G10" s="190">
        <v>1609217.3</v>
      </c>
      <c r="H10" s="190">
        <v>1613875.6</v>
      </c>
      <c r="I10" s="190">
        <v>1056667.8700000001</v>
      </c>
      <c r="J10" s="190">
        <v>1006936.83</v>
      </c>
      <c r="K10" s="190">
        <v>578052.74</v>
      </c>
      <c r="L10" s="190">
        <v>465908.09</v>
      </c>
      <c r="M10" s="190">
        <v>340409.04</v>
      </c>
      <c r="N10" s="32">
        <f>SUM(B10:M10)</f>
        <v>9345755.4899999984</v>
      </c>
    </row>
    <row r="11" spans="1:14" s="110" customFormat="1">
      <c r="A11" s="121" t="s">
        <v>296</v>
      </c>
      <c r="B11" s="30">
        <f>B10-B9</f>
        <v>1127.460000000021</v>
      </c>
      <c r="C11" s="30">
        <f t="shared" ref="C11:K11" si="3">C10-C9</f>
        <v>0.20400000002700835</v>
      </c>
      <c r="D11" s="30">
        <f t="shared" si="3"/>
        <v>2.6400000000139698</v>
      </c>
      <c r="E11" s="30">
        <f t="shared" si="3"/>
        <v>-32950.640000000014</v>
      </c>
      <c r="F11" s="30">
        <f t="shared" si="3"/>
        <v>-51114.137999999919</v>
      </c>
      <c r="G11" s="30">
        <f t="shared" si="3"/>
        <v>55.415999999968335</v>
      </c>
      <c r="H11" s="66">
        <f t="shared" si="3"/>
        <v>1488.7380000001285</v>
      </c>
      <c r="I11" s="30">
        <f t="shared" si="3"/>
        <v>21299.904000000213</v>
      </c>
      <c r="J11" s="30">
        <f t="shared" si="3"/>
        <v>1.5999999945051968E-2</v>
      </c>
      <c r="K11" s="30">
        <f t="shared" si="3"/>
        <v>-1.600000006146729E-2</v>
      </c>
      <c r="L11" s="30">
        <f>L10-L9</f>
        <v>1.2000000046100467E-2</v>
      </c>
      <c r="M11" s="30">
        <f>M10-M9</f>
        <v>-2.1999999997206032E-2</v>
      </c>
      <c r="N11" s="30">
        <f>SUM(B11:M11)</f>
        <v>-60090.425999999628</v>
      </c>
    </row>
    <row r="12" spans="1:14">
      <c r="J12" s="10"/>
      <c r="K12" s="10"/>
      <c r="L12" s="10"/>
      <c r="M12" s="10"/>
    </row>
    <row r="13" spans="1:14">
      <c r="A13" s="2" t="s">
        <v>120</v>
      </c>
      <c r="B13" s="32">
        <f>+'YR REPORTS'!D69</f>
        <v>1177924.697801047</v>
      </c>
      <c r="C13" s="32">
        <f>+'YR REPORTS'!E69</f>
        <v>1233001.6860314137</v>
      </c>
      <c r="D13" s="32">
        <f>+'YR REPORTS'!F69</f>
        <v>1024068.0712041884</v>
      </c>
      <c r="E13" s="32">
        <f>+'YR REPORTS'!G69</f>
        <v>1183524.0027923211</v>
      </c>
      <c r="F13" s="32">
        <f>+'YR REPORTS'!H69</f>
        <v>1348157.63886911</v>
      </c>
      <c r="G13" s="32">
        <f>+'YR REPORTS'!I69</f>
        <v>2006626.374701571</v>
      </c>
      <c r="H13" s="32">
        <f>+'YR REPORTS'!J69</f>
        <v>2111528.7706806283</v>
      </c>
      <c r="I13" s="32">
        <f>+'YR REPORTS'!K69</f>
        <v>1696419.6318324609</v>
      </c>
      <c r="J13" s="32">
        <f>+'YR REPORTS'!L69</f>
        <v>1422857.3488586387</v>
      </c>
      <c r="K13" s="32">
        <f>+'YR REPORTS'!M69</f>
        <v>1576115.2402094242</v>
      </c>
      <c r="L13" s="32">
        <f>+'YR REPORTS'!N69</f>
        <v>1191352.6169354275</v>
      </c>
      <c r="M13" s="32">
        <f>+'YR REPORTS'!O69</f>
        <v>1080554.7071553229</v>
      </c>
      <c r="N13" s="32">
        <f>SUM(C13:M13)</f>
        <v>15874206.08927051</v>
      </c>
    </row>
    <row r="14" spans="1:14">
      <c r="A14" s="1" t="s">
        <v>301</v>
      </c>
      <c r="B14" s="190">
        <v>108136.29659</v>
      </c>
      <c r="C14" s="190">
        <v>135196.44722999999</v>
      </c>
      <c r="D14" s="190">
        <v>105145.07243999999</v>
      </c>
      <c r="E14" s="190">
        <v>78394</v>
      </c>
      <c r="F14" s="190">
        <v>69132.830129999988</v>
      </c>
      <c r="G14" s="190">
        <v>158459.15167999998</v>
      </c>
      <c r="H14" s="190">
        <v>158878.04815999998</v>
      </c>
      <c r="I14" s="190">
        <v>163760.34890000001</v>
      </c>
      <c r="J14" s="190">
        <v>99861.847119999991</v>
      </c>
      <c r="K14" s="190">
        <v>58036.962449999999</v>
      </c>
      <c r="L14" s="190">
        <v>74980.660380000001</v>
      </c>
      <c r="M14" s="190">
        <v>74056.569959999993</v>
      </c>
      <c r="N14" s="32">
        <f>SUM(C14:M14)</f>
        <v>1175901.93845</v>
      </c>
    </row>
    <row r="15" spans="1:14">
      <c r="A15" s="1" t="s">
        <v>302</v>
      </c>
      <c r="B15" s="190">
        <v>1013914.83</v>
      </c>
      <c r="C15" s="190">
        <v>1087011.1299999999</v>
      </c>
      <c r="D15" s="190">
        <v>1017001.06</v>
      </c>
      <c r="E15" s="190">
        <v>1078817</v>
      </c>
      <c r="F15" s="190">
        <v>1001657.79</v>
      </c>
      <c r="G15" s="190">
        <v>1186066.25</v>
      </c>
      <c r="H15" s="190">
        <v>1279910.23</v>
      </c>
      <c r="I15" s="190">
        <v>1091293.94</v>
      </c>
      <c r="J15" s="190">
        <v>956645.99</v>
      </c>
      <c r="K15" s="190">
        <v>1256857.32</v>
      </c>
      <c r="L15" s="190">
        <v>935777.77</v>
      </c>
      <c r="M15" s="190">
        <v>804578.85</v>
      </c>
      <c r="N15" s="32">
        <f>SUM(E15:M15)</f>
        <v>9591605.1399999987</v>
      </c>
    </row>
    <row r="16" spans="1:14">
      <c r="A16" s="1" t="s">
        <v>303</v>
      </c>
      <c r="B16" s="190">
        <v>0</v>
      </c>
      <c r="C16" s="190">
        <v>0</v>
      </c>
      <c r="D16" s="190">
        <v>0</v>
      </c>
      <c r="E16" s="190">
        <v>0</v>
      </c>
      <c r="F16" s="190">
        <v>272919.36</v>
      </c>
      <c r="G16" s="190">
        <v>512183.25</v>
      </c>
      <c r="H16" s="190">
        <v>684296.17</v>
      </c>
      <c r="I16" s="190">
        <v>477734.33</v>
      </c>
      <c r="J16" s="190">
        <v>399351.65</v>
      </c>
      <c r="K16" s="190">
        <v>81697.070000000007</v>
      </c>
      <c r="L16" s="190">
        <v>305041.90000000002</v>
      </c>
      <c r="M16" s="190">
        <v>218937.18000000002</v>
      </c>
      <c r="N16" s="32">
        <f>SUM(C16:M16)</f>
        <v>2952160.91</v>
      </c>
    </row>
    <row r="17" spans="1:14">
      <c r="A17" s="1" t="s">
        <v>304</v>
      </c>
      <c r="B17" s="32">
        <f>SUM(B14:B16)</f>
        <v>1122051.12659</v>
      </c>
      <c r="C17" s="32">
        <f t="shared" ref="C17:M17" si="4">SUM(C14:C16)</f>
        <v>1222207.5772299999</v>
      </c>
      <c r="D17" s="32">
        <f t="shared" si="4"/>
        <v>1122146.1324400001</v>
      </c>
      <c r="E17" s="32">
        <f t="shared" si="4"/>
        <v>1157211</v>
      </c>
      <c r="F17" s="32">
        <f t="shared" si="4"/>
        <v>1343709.98013</v>
      </c>
      <c r="G17" s="32">
        <f t="shared" si="4"/>
        <v>1856708.6516799999</v>
      </c>
      <c r="H17" s="32">
        <f t="shared" si="4"/>
        <v>2123084.4481600001</v>
      </c>
      <c r="I17" s="32">
        <f t="shared" si="4"/>
        <v>1732788.6189000001</v>
      </c>
      <c r="J17" s="32">
        <f t="shared" si="4"/>
        <v>1455859.4871200002</v>
      </c>
      <c r="K17" s="32">
        <f t="shared" si="4"/>
        <v>1396591.3524500001</v>
      </c>
      <c r="L17" s="32">
        <f t="shared" si="4"/>
        <v>1315800.3303800002</v>
      </c>
      <c r="M17" s="32">
        <f t="shared" si="4"/>
        <v>1097572.59996</v>
      </c>
      <c r="N17" s="32">
        <f>SUM(B17:M17)</f>
        <v>16945731.305040002</v>
      </c>
    </row>
    <row r="18" spans="1:14">
      <c r="A18" s="1" t="s">
        <v>296</v>
      </c>
      <c r="B18" s="30">
        <f>B17-B13</f>
        <v>-55873.571211047005</v>
      </c>
      <c r="C18" s="30">
        <f t="shared" ref="C18:K18" si="5">C17-C13</f>
        <v>-10794.108801413793</v>
      </c>
      <c r="D18" s="30">
        <f t="shared" si="5"/>
        <v>98078.061235811678</v>
      </c>
      <c r="E18" s="30">
        <f t="shared" si="5"/>
        <v>-26313.002792321146</v>
      </c>
      <c r="F18" s="66">
        <f t="shared" si="5"/>
        <v>-4447.6587391099893</v>
      </c>
      <c r="G18" s="66">
        <f t="shared" si="5"/>
        <v>-149917.72302157106</v>
      </c>
      <c r="H18" s="66">
        <f t="shared" si="5"/>
        <v>11555.677479371894</v>
      </c>
      <c r="I18" s="66">
        <f t="shared" si="5"/>
        <v>36368.987067539245</v>
      </c>
      <c r="J18" s="66">
        <f t="shared" si="5"/>
        <v>33002.138261361513</v>
      </c>
      <c r="K18" s="66">
        <f t="shared" si="5"/>
        <v>-179523.88775942405</v>
      </c>
      <c r="L18" s="66">
        <f>L17-L13</f>
        <v>124447.71344457264</v>
      </c>
      <c r="M18" s="66">
        <f>M17-M13</f>
        <v>17017.892804677133</v>
      </c>
      <c r="N18" s="30">
        <f>SUM(B18:M18)</f>
        <v>-106399.48203155294</v>
      </c>
    </row>
    <row r="19" spans="1:14">
      <c r="B19" s="30"/>
      <c r="C19" s="30"/>
      <c r="D19" s="30"/>
      <c r="E19" s="30"/>
      <c r="F19" s="66"/>
      <c r="G19" s="30"/>
      <c r="H19" s="66"/>
      <c r="I19" s="66"/>
      <c r="J19" s="66"/>
      <c r="K19" s="66"/>
      <c r="L19" s="66"/>
      <c r="M19" s="66"/>
      <c r="N19" s="30"/>
    </row>
    <row r="20" spans="1:14">
      <c r="A20" s="1" t="s">
        <v>307</v>
      </c>
      <c r="B20" s="30">
        <f>SUM(B2,B9,B13)</f>
        <v>2869631.177801047</v>
      </c>
      <c r="C20" s="30">
        <f t="shared" ref="C20:M20" si="6">SUM(C2,C9,C13)</f>
        <v>3039885.327031414</v>
      </c>
      <c r="D20" s="30">
        <f t="shared" si="6"/>
        <v>3010275.4312041881</v>
      </c>
      <c r="E20" s="30">
        <f t="shared" si="6"/>
        <v>4793909.4927923214</v>
      </c>
      <c r="F20" s="30">
        <f t="shared" si="6"/>
        <v>9864024.0018691104</v>
      </c>
      <c r="G20" s="30">
        <f t="shared" si="6"/>
        <v>19580529.00870157</v>
      </c>
      <c r="H20" s="30">
        <f t="shared" si="6"/>
        <v>19580767.362680629</v>
      </c>
      <c r="I20" s="30">
        <f t="shared" si="6"/>
        <v>12179128.747832462</v>
      </c>
      <c r="J20" s="30">
        <f t="shared" si="6"/>
        <v>9923982.8128586374</v>
      </c>
      <c r="K20" s="30">
        <f t="shared" si="6"/>
        <v>5589394.5962094245</v>
      </c>
      <c r="L20" s="30">
        <f t="shared" si="6"/>
        <v>3439813.5449354276</v>
      </c>
      <c r="M20" s="30">
        <f t="shared" si="6"/>
        <v>2820119.9691553228</v>
      </c>
      <c r="N20" s="32">
        <f>SUM(B20:M20)</f>
        <v>96691461.47307156</v>
      </c>
    </row>
    <row r="21" spans="1:14">
      <c r="A21" s="1" t="s">
        <v>633</v>
      </c>
      <c r="B21" s="30">
        <f>B20</f>
        <v>2869631.177801047</v>
      </c>
      <c r="C21" s="30">
        <f>B21+C20</f>
        <v>5909516.5048324615</v>
      </c>
      <c r="D21" s="30">
        <f t="shared" ref="D21:K21" si="7">C21+D20</f>
        <v>8919791.9360366501</v>
      </c>
      <c r="E21" s="30">
        <f t="shared" si="7"/>
        <v>13713701.428828971</v>
      </c>
      <c r="F21" s="30">
        <f t="shared" si="7"/>
        <v>23577725.430698082</v>
      </c>
      <c r="G21" s="30">
        <f t="shared" si="7"/>
        <v>43158254.439399652</v>
      </c>
      <c r="H21" s="30">
        <f t="shared" si="7"/>
        <v>62739021.802080281</v>
      </c>
      <c r="I21" s="30">
        <f t="shared" si="7"/>
        <v>74918150.549912751</v>
      </c>
      <c r="J21" s="30">
        <f t="shared" si="7"/>
        <v>84842133.362771392</v>
      </c>
      <c r="K21" s="30">
        <f t="shared" si="7"/>
        <v>90431527.958980814</v>
      </c>
      <c r="L21" s="30">
        <f>K21+L20</f>
        <v>93871341.503916234</v>
      </c>
      <c r="M21" s="30">
        <f>L21+M20</f>
        <v>96691461.47307156</v>
      </c>
      <c r="N21" s="32"/>
    </row>
    <row r="23" spans="1:14">
      <c r="A23" s="1" t="s">
        <v>308</v>
      </c>
      <c r="B23" s="32">
        <f>SUM(B6,B10,B17)</f>
        <v>2807067.9565899996</v>
      </c>
      <c r="C23" s="32">
        <f t="shared" ref="C23:K23" si="8">SUM(C6,C10,C17)</f>
        <v>3029345.6072299997</v>
      </c>
      <c r="D23" s="32">
        <f t="shared" si="8"/>
        <v>3101934.4024400003</v>
      </c>
      <c r="E23" s="32">
        <f t="shared" si="8"/>
        <v>4731732</v>
      </c>
      <c r="F23" s="32">
        <f t="shared" si="8"/>
        <v>9450092.9501300007</v>
      </c>
      <c r="G23" s="32">
        <f t="shared" si="8"/>
        <v>19424799.481679998</v>
      </c>
      <c r="H23" s="32">
        <f t="shared" si="8"/>
        <v>19590819.368160002</v>
      </c>
      <c r="I23" s="32">
        <f t="shared" si="8"/>
        <v>12383828.7289</v>
      </c>
      <c r="J23" s="32">
        <f t="shared" si="8"/>
        <v>9956186.7571200002</v>
      </c>
      <c r="K23" s="32">
        <f t="shared" si="8"/>
        <v>5410670.8224500008</v>
      </c>
      <c r="L23" s="32">
        <f>SUM(L6,L10,L17)</f>
        <v>3545049.8003800004</v>
      </c>
      <c r="M23" s="32">
        <f>SUM(M6,M10,M17)</f>
        <v>2835328.85996</v>
      </c>
      <c r="N23" s="32">
        <f>SUM(B23:M23)</f>
        <v>96266856.735040009</v>
      </c>
    </row>
    <row r="24" spans="1:14">
      <c r="A24" s="1" t="s">
        <v>634</v>
      </c>
      <c r="B24" s="32">
        <f>B23</f>
        <v>2807067.9565899996</v>
      </c>
      <c r="C24" s="32">
        <f>B24+C23</f>
        <v>5836413.5638199989</v>
      </c>
      <c r="D24" s="32">
        <f t="shared" ref="D24:K24" si="9">C24+D23</f>
        <v>8938347.9662599992</v>
      </c>
      <c r="E24" s="32">
        <f t="shared" si="9"/>
        <v>13670079.966259999</v>
      </c>
      <c r="F24" s="32">
        <f t="shared" si="9"/>
        <v>23120172.916390002</v>
      </c>
      <c r="G24" s="32">
        <f t="shared" si="9"/>
        <v>42544972.39807</v>
      </c>
      <c r="H24" s="32">
        <f t="shared" si="9"/>
        <v>62135791.766230002</v>
      </c>
      <c r="I24" s="32">
        <f t="shared" si="9"/>
        <v>74519620.495130002</v>
      </c>
      <c r="J24" s="32">
        <f t="shared" si="9"/>
        <v>84475807.252250001</v>
      </c>
      <c r="K24" s="32">
        <f t="shared" si="9"/>
        <v>89886478.074699998</v>
      </c>
      <c r="L24" s="32">
        <f>K24+L23</f>
        <v>93431527.875080004</v>
      </c>
      <c r="M24" s="32">
        <f>L24+M23</f>
        <v>96266856.735040009</v>
      </c>
    </row>
    <row r="25" spans="1:14" ht="21" thickBot="1"/>
    <row r="26" spans="1:14" ht="21" thickBot="1">
      <c r="A26" s="1" t="s">
        <v>312</v>
      </c>
      <c r="B26" s="30">
        <f>B23-B20</f>
        <v>-62563.221211047377</v>
      </c>
      <c r="C26" s="343">
        <f t="shared" ref="C26:K26" si="10">C23-C20</f>
        <v>-10539.719801414292</v>
      </c>
      <c r="D26" s="30">
        <f t="shared" si="10"/>
        <v>91658.971235812176</v>
      </c>
      <c r="E26" s="30">
        <f t="shared" si="10"/>
        <v>-62177.492792321369</v>
      </c>
      <c r="F26" s="30">
        <f t="shared" si="10"/>
        <v>-413931.05173910968</v>
      </c>
      <c r="G26" s="30">
        <f t="shared" si="10"/>
        <v>-155729.52702157199</v>
      </c>
      <c r="H26" s="30">
        <f t="shared" si="10"/>
        <v>10052.005479373038</v>
      </c>
      <c r="I26" s="30">
        <f t="shared" si="10"/>
        <v>204699.98106753826</v>
      </c>
      <c r="J26" s="30">
        <f t="shared" si="10"/>
        <v>32203.944261362776</v>
      </c>
      <c r="K26" s="30">
        <f t="shared" si="10"/>
        <v>-178723.77375942376</v>
      </c>
      <c r="L26" s="30">
        <f>L23-L20</f>
        <v>105236.25544457277</v>
      </c>
      <c r="M26" s="30">
        <f>M23-M20</f>
        <v>15208.89080467727</v>
      </c>
      <c r="N26" s="66">
        <f>SUM(B26:M26)</f>
        <v>-424604.73803155217</v>
      </c>
    </row>
    <row r="27" spans="1:14">
      <c r="A27" s="1" t="s">
        <v>635</v>
      </c>
      <c r="B27" s="30">
        <f>B24-B21</f>
        <v>-62563.221211047377</v>
      </c>
      <c r="C27" s="30">
        <f t="shared" ref="C27:K27" si="11">C24-C21</f>
        <v>-73102.941012462601</v>
      </c>
      <c r="D27" s="30">
        <f t="shared" si="11"/>
        <v>18556.030223349109</v>
      </c>
      <c r="E27" s="30">
        <f t="shared" si="11"/>
        <v>-43621.46256897226</v>
      </c>
      <c r="F27" s="30">
        <f t="shared" si="11"/>
        <v>-457552.51430808008</v>
      </c>
      <c r="G27" s="30">
        <f t="shared" si="11"/>
        <v>-613282.04132965207</v>
      </c>
      <c r="H27" s="30">
        <f t="shared" si="11"/>
        <v>-603230.03585027903</v>
      </c>
      <c r="I27" s="30">
        <f t="shared" si="11"/>
        <v>-398530.05478274822</v>
      </c>
      <c r="J27" s="30">
        <f t="shared" si="11"/>
        <v>-366326.11052139103</v>
      </c>
      <c r="K27" s="30">
        <f t="shared" si="11"/>
        <v>-545049.88428081572</v>
      </c>
      <c r="L27" s="30">
        <f>L24-L21</f>
        <v>-439813.62883622944</v>
      </c>
      <c r="M27" s="30">
        <f>M24-M21</f>
        <v>-424604.73803155124</v>
      </c>
    </row>
  </sheetData>
  <phoneticPr fontId="10" type="noConversion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BI216"/>
  <sheetViews>
    <sheetView topLeftCell="H1" zoomScale="50" workbookViewId="0">
      <selection activeCell="S40" sqref="S40"/>
    </sheetView>
  </sheetViews>
  <sheetFormatPr defaultRowHeight="20.25"/>
  <cols>
    <col min="1" max="1" width="85" style="1" bestFit="1" customWidth="1"/>
    <col min="2" max="2" width="13.44140625" style="1" bestFit="1" customWidth="1"/>
    <col min="3" max="3" width="10.109375" style="1" bestFit="1" customWidth="1"/>
    <col min="4" max="4" width="11.88671875" style="1" bestFit="1" customWidth="1"/>
    <col min="5" max="9" width="12.109375" style="1" bestFit="1" customWidth="1"/>
    <col min="10" max="13" width="13.44140625" style="1" bestFit="1" customWidth="1"/>
    <col min="14" max="14" width="17.44140625" style="10" bestFit="1" customWidth="1"/>
    <col min="15" max="15" width="23.44140625" style="10" bestFit="1" customWidth="1"/>
    <col min="16" max="22" width="14.33203125" style="10" customWidth="1"/>
    <col min="23" max="23" width="8.88671875" style="1"/>
    <col min="24" max="24" width="61" style="1" customWidth="1"/>
    <col min="25" max="25" width="12.109375" style="1" bestFit="1" customWidth="1"/>
    <col min="26" max="26" width="9.88671875" style="1" bestFit="1" customWidth="1"/>
    <col min="27" max="27" width="9.6640625" style="1" bestFit="1" customWidth="1"/>
    <col min="28" max="28" width="9" style="1" bestFit="1" customWidth="1"/>
    <col min="29" max="30" width="9.44140625" style="1" bestFit="1" customWidth="1"/>
    <col min="31" max="31" width="9.21875" style="1" bestFit="1" customWidth="1"/>
    <col min="32" max="32" width="9.44140625" style="1" bestFit="1" customWidth="1"/>
    <col min="33" max="33" width="9.6640625" style="1" bestFit="1" customWidth="1"/>
    <col min="34" max="34" width="9.44140625" style="1" bestFit="1" customWidth="1"/>
    <col min="35" max="35" width="9.88671875" style="1" bestFit="1" customWidth="1"/>
    <col min="36" max="36" width="9.44140625" style="1" bestFit="1" customWidth="1"/>
    <col min="37" max="38" width="9.44140625" style="1" customWidth="1"/>
    <col min="39" max="39" width="8.88671875" style="1"/>
    <col min="40" max="40" width="61" style="1" customWidth="1"/>
    <col min="41" max="41" width="12.109375" style="1" bestFit="1" customWidth="1"/>
    <col min="42" max="42" width="11" style="1" bestFit="1" customWidth="1"/>
    <col min="43" max="43" width="9.6640625" style="1" bestFit="1" customWidth="1"/>
    <col min="44" max="44" width="9" style="1" bestFit="1" customWidth="1"/>
    <col min="45" max="46" width="9.44140625" style="1" bestFit="1" customWidth="1"/>
    <col min="47" max="47" width="9.21875" style="1" bestFit="1" customWidth="1"/>
    <col min="48" max="48" width="9.44140625" style="1" bestFit="1" customWidth="1"/>
    <col min="49" max="49" width="9.6640625" style="1" bestFit="1" customWidth="1"/>
    <col min="50" max="50" width="9.44140625" style="1" bestFit="1" customWidth="1"/>
    <col min="51" max="51" width="9.88671875" style="1" bestFit="1" customWidth="1"/>
    <col min="52" max="52" width="9.44140625" style="1" bestFit="1" customWidth="1"/>
    <col min="53" max="16384" width="8.88671875" style="1"/>
  </cols>
  <sheetData>
    <row r="1" spans="1:61">
      <c r="A1" s="33" t="s">
        <v>123</v>
      </c>
      <c r="B1" s="22">
        <v>1000000</v>
      </c>
      <c r="X1" s="33" t="s">
        <v>123</v>
      </c>
      <c r="Y1" s="22">
        <v>1000000</v>
      </c>
      <c r="AN1" s="33" t="s">
        <v>123</v>
      </c>
      <c r="AO1" s="22">
        <v>1000000</v>
      </c>
    </row>
    <row r="3" spans="1:61">
      <c r="A3" s="33" t="s">
        <v>549</v>
      </c>
      <c r="B3" s="142">
        <v>40360</v>
      </c>
      <c r="C3" s="142">
        <v>40391</v>
      </c>
      <c r="D3" s="142">
        <v>40422</v>
      </c>
      <c r="E3" s="142">
        <v>40452</v>
      </c>
      <c r="F3" s="142">
        <v>40483</v>
      </c>
      <c r="G3" s="142">
        <v>40513</v>
      </c>
      <c r="H3" s="142">
        <v>40544</v>
      </c>
      <c r="I3" s="142">
        <v>40575</v>
      </c>
      <c r="J3" s="142">
        <v>40603</v>
      </c>
      <c r="K3" s="142">
        <v>40634</v>
      </c>
      <c r="L3" s="142">
        <v>40664</v>
      </c>
      <c r="M3" s="142">
        <v>40695</v>
      </c>
      <c r="N3" s="12" t="s">
        <v>761</v>
      </c>
      <c r="O3" s="12"/>
      <c r="P3" s="12"/>
      <c r="Q3" s="12"/>
      <c r="R3" s="12"/>
      <c r="S3" s="12"/>
      <c r="T3" s="12"/>
      <c r="U3" s="12"/>
      <c r="V3" s="12"/>
      <c r="W3" s="142"/>
      <c r="X3" s="33" t="s">
        <v>549</v>
      </c>
      <c r="Y3" s="142">
        <v>40725</v>
      </c>
      <c r="Z3" s="142">
        <v>40756</v>
      </c>
      <c r="AA3" s="142">
        <v>40787</v>
      </c>
      <c r="AB3" s="142">
        <v>40817</v>
      </c>
      <c r="AC3" s="142">
        <v>40848</v>
      </c>
      <c r="AD3" s="142">
        <v>40878</v>
      </c>
      <c r="AE3" s="142">
        <v>40909</v>
      </c>
      <c r="AF3" s="142">
        <v>40940</v>
      </c>
      <c r="AG3" s="142">
        <v>40969</v>
      </c>
      <c r="AH3" s="142">
        <v>41000</v>
      </c>
      <c r="AI3" s="142">
        <v>41030</v>
      </c>
      <c r="AJ3" s="142">
        <v>41061</v>
      </c>
      <c r="AK3" s="12" t="s">
        <v>897</v>
      </c>
      <c r="AL3" s="142"/>
      <c r="AM3" s="142"/>
      <c r="AN3" s="33" t="s">
        <v>323</v>
      </c>
      <c r="AO3" s="142">
        <v>41091</v>
      </c>
      <c r="AP3" s="142">
        <v>41122</v>
      </c>
      <c r="AQ3" s="142">
        <v>41153</v>
      </c>
      <c r="AR3" s="142">
        <v>41183</v>
      </c>
      <c r="AS3" s="142">
        <v>41214</v>
      </c>
      <c r="AT3" s="142">
        <v>41244</v>
      </c>
      <c r="AU3" s="142">
        <v>41275</v>
      </c>
      <c r="AV3" s="142">
        <v>41306</v>
      </c>
      <c r="AW3" s="142">
        <v>41334</v>
      </c>
      <c r="AX3" s="142">
        <v>41365</v>
      </c>
      <c r="AY3" s="142">
        <v>41395</v>
      </c>
      <c r="AZ3" s="142">
        <v>41426</v>
      </c>
      <c r="BA3" s="12" t="s">
        <v>898</v>
      </c>
      <c r="BB3" s="142"/>
      <c r="BC3" s="142"/>
      <c r="BD3" s="142"/>
      <c r="BE3" s="142"/>
      <c r="BF3" s="142"/>
      <c r="BG3" s="142"/>
      <c r="BH3" s="142"/>
      <c r="BI3" s="142"/>
    </row>
    <row r="4" spans="1:61">
      <c r="A4" s="4" t="s">
        <v>615</v>
      </c>
      <c r="B4" s="16">
        <f>+'YR REPORTS'!D34</f>
        <v>5.0270506225530909</v>
      </c>
      <c r="C4" s="16">
        <f>+'YR REPORTS'!E34</f>
        <v>4.9998957438896019</v>
      </c>
      <c r="D4" s="16">
        <f>+'YR REPORTS'!F34</f>
        <v>3.2544973177815648</v>
      </c>
      <c r="E4" s="16">
        <f>+'YR REPORTS'!G34</f>
        <v>3.8866973547055705</v>
      </c>
      <c r="F4" s="16">
        <f>+'YR REPORTS'!H34</f>
        <v>3.9856294602734552</v>
      </c>
      <c r="G4" s="16">
        <f>+'YR REPORTS'!I34</f>
        <v>5.1371488024738428</v>
      </c>
      <c r="H4" s="16">
        <f>+'YR REPORTS'!J34</f>
        <v>4.9699160594235385</v>
      </c>
      <c r="I4" s="16">
        <f>+'YR REPORTS'!K34</f>
        <v>4.544450574933049</v>
      </c>
      <c r="J4" s="16">
        <f>+'YR REPORTS'!L34</f>
        <v>4.8966138891864732</v>
      </c>
      <c r="K4" s="16">
        <f>+'YR REPORTS'!M34</f>
        <v>5.5543367538352104</v>
      </c>
      <c r="L4" s="16">
        <f>+'YR REPORTS'!N34</f>
        <v>5.7401197292702424</v>
      </c>
      <c r="M4" s="16">
        <f>+'YR REPORTS'!O34</f>
        <v>4.1871305107258774</v>
      </c>
      <c r="N4" s="16">
        <f>+'YR REPORTS'!P34</f>
        <v>4.7920672194247604</v>
      </c>
      <c r="O4" s="12"/>
      <c r="P4" s="12"/>
      <c r="Q4" s="12"/>
      <c r="R4" s="12"/>
      <c r="S4" s="12"/>
      <c r="T4" s="12"/>
      <c r="U4" s="12"/>
      <c r="V4" s="12"/>
      <c r="W4" s="142"/>
      <c r="X4" s="4" t="s">
        <v>547</v>
      </c>
      <c r="Y4" s="16">
        <f>+'YR REPORTS'!U34</f>
        <v>4.8075051868422358</v>
      </c>
      <c r="Z4" s="16">
        <f>+'YR REPORTS'!V34</f>
        <v>4.8284107189808338</v>
      </c>
      <c r="AA4" s="16">
        <f>+'YR REPORTS'!W34</f>
        <v>4.5339801521339034</v>
      </c>
      <c r="AB4" s="16">
        <f>+'YR REPORTS'!X34</f>
        <v>4.6262158051216469</v>
      </c>
      <c r="AC4" s="16">
        <f>+'YR REPORTS'!Y34</f>
        <v>4.7476000403852634</v>
      </c>
      <c r="AD4" s="16">
        <f>+'YR REPORTS'!Z34</f>
        <v>4.9756592885401636</v>
      </c>
      <c r="AE4" s="16">
        <f>+'YR REPORTS'!AA34</f>
        <v>5.0475755602898502</v>
      </c>
      <c r="AF4" s="16">
        <f>+'YR REPORTS'!AB34</f>
        <v>5.0373463850060753</v>
      </c>
      <c r="AG4" s="16">
        <f>+'YR REPORTS'!AC34</f>
        <v>5.0370916218080648</v>
      </c>
      <c r="AH4" s="16">
        <f>+'YR REPORTS'!AD34</f>
        <v>5.0070937426082782</v>
      </c>
      <c r="AI4" s="16">
        <f>+'YR REPORTS'!AE34</f>
        <v>4.9309659632679885</v>
      </c>
      <c r="AJ4" s="16">
        <f>+'YR REPORTS'!AF34</f>
        <v>4.8888618050176449</v>
      </c>
      <c r="AK4" s="16">
        <f>+'YR REPORTS'!AG34</f>
        <v>4.9363183646638031</v>
      </c>
      <c r="AL4" s="16"/>
      <c r="AM4" s="142"/>
      <c r="AN4" s="33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</row>
    <row r="5" spans="1:61">
      <c r="A5" s="1" t="s">
        <v>616</v>
      </c>
      <c r="B5" s="16">
        <f>+'YR REPORTS'!D36</f>
        <v>7.1747255088173914</v>
      </c>
      <c r="C5" s="16">
        <f>+'YR REPORTS'!E36</f>
        <v>6.6790180378645418</v>
      </c>
      <c r="D5" s="16">
        <f>+'YR REPORTS'!F36</f>
        <v>6.1215509297971265</v>
      </c>
      <c r="E5" s="16">
        <f>+'YR REPORTS'!G36</f>
        <v>3.5989808344594509</v>
      </c>
      <c r="F5" s="16">
        <f>+'YR REPORTS'!H36</f>
        <v>1.4360779954293981</v>
      </c>
      <c r="G5" s="16">
        <f>+'YR REPORTS'!I36</f>
        <v>0.64300147579998135</v>
      </c>
      <c r="H5" s="16">
        <f>+'YR REPORTS'!J36</f>
        <v>0.64674790322189024</v>
      </c>
      <c r="I5" s="16">
        <f>+'YR REPORTS'!K36</f>
        <v>1.0008187127155344</v>
      </c>
      <c r="J5" s="16">
        <f>+'YR REPORTS'!L36</f>
        <v>1.2876571706838473</v>
      </c>
      <c r="K5" s="16">
        <f>+'YR REPORTS'!M36</f>
        <v>2.4866333066223345</v>
      </c>
      <c r="L5" s="16">
        <f>+'YR REPORTS'!N36</f>
        <v>5.1427132084908447</v>
      </c>
      <c r="M5" s="16">
        <f>+'YR REPORTS'!O36</f>
        <v>6.5307660606314002</v>
      </c>
      <c r="N5" s="16">
        <f>+'YR REPORTS'!P36</f>
        <v>1.650590466260522</v>
      </c>
      <c r="O5" s="12"/>
      <c r="P5" s="12"/>
      <c r="Q5" s="12"/>
      <c r="R5" s="12"/>
      <c r="S5" s="12"/>
      <c r="T5" s="12"/>
      <c r="U5" s="12"/>
      <c r="V5" s="12"/>
      <c r="W5" s="142"/>
      <c r="X5" s="1" t="s">
        <v>548</v>
      </c>
      <c r="Y5" s="16">
        <f>+'YR REPORTS'!U36</f>
        <v>7.3938775504653043</v>
      </c>
      <c r="Z5" s="16">
        <f>+'YR REPORTS'!V36</f>
        <v>7.3938775504653043</v>
      </c>
      <c r="AA5" s="16">
        <f>+'YR REPORTS'!W36</f>
        <v>6.0441527457950803</v>
      </c>
      <c r="AB5" s="16">
        <f>+'YR REPORTS'!X36</f>
        <v>2.5850157175452217</v>
      </c>
      <c r="AC5" s="16">
        <f>+'YR REPORTS'!Y36</f>
        <v>1.5391791978328477</v>
      </c>
      <c r="AD5" s="16">
        <f>+'YR REPORTS'!Z36</f>
        <v>1.0317827598717335</v>
      </c>
      <c r="AE5" s="16">
        <f>+'YR REPORTS'!AA36</f>
        <v>0.89999582322175775</v>
      </c>
      <c r="AF5" s="16">
        <f>+'YR REPORTS'!AB36</f>
        <v>1.1003908410079473</v>
      </c>
      <c r="AG5" s="16">
        <f>+'YR REPORTS'!AC36</f>
        <v>1.3900142831934714</v>
      </c>
      <c r="AH5" s="16">
        <f>+'YR REPORTS'!AD36</f>
        <v>2.1927388702421884</v>
      </c>
      <c r="AI5" s="16">
        <f>+'YR REPORTS'!AE36</f>
        <v>4.207662330046106</v>
      </c>
      <c r="AJ5" s="16">
        <f>+'YR REPORTS'!AF36</f>
        <v>7.6403401354808134</v>
      </c>
      <c r="AK5" s="16">
        <f>+'YR REPORTS'!AG36</f>
        <v>1.9296918674261685</v>
      </c>
      <c r="AL5" s="16"/>
      <c r="AM5" s="142"/>
      <c r="AN5" s="33"/>
      <c r="AO5" s="142"/>
      <c r="AP5" s="142"/>
      <c r="AQ5" s="142"/>
      <c r="AR5" s="142"/>
      <c r="AS5" s="142"/>
      <c r="AT5" s="142"/>
      <c r="AU5" s="142"/>
      <c r="AV5" s="142"/>
      <c r="AW5" s="142"/>
      <c r="AX5" s="142"/>
      <c r="AY5" s="142"/>
      <c r="AZ5" s="142"/>
      <c r="BA5" s="142"/>
      <c r="BB5" s="142"/>
      <c r="BC5" s="142"/>
      <c r="BD5" s="142"/>
      <c r="BE5" s="142"/>
      <c r="BF5" s="142"/>
      <c r="BG5" s="142"/>
      <c r="BH5" s="142"/>
      <c r="BI5" s="142"/>
    </row>
    <row r="6" spans="1:61">
      <c r="A6" s="4" t="s">
        <v>617</v>
      </c>
      <c r="B6" s="16">
        <f>+'YR REPORTS'!D37</f>
        <v>12.201776131370483</v>
      </c>
      <c r="C6" s="16">
        <f>+'YR REPORTS'!E37</f>
        <v>11.678913781754144</v>
      </c>
      <c r="D6" s="16">
        <f>+'YR REPORTS'!F37</f>
        <v>9.3760482475786908</v>
      </c>
      <c r="E6" s="16">
        <f>+'YR REPORTS'!G37</f>
        <v>7.4856781891650215</v>
      </c>
      <c r="F6" s="16">
        <f>+'YR REPORTS'!H37</f>
        <v>5.4217074557028528</v>
      </c>
      <c r="G6" s="16">
        <f>+'YR REPORTS'!I37</f>
        <v>5.7801502782738243</v>
      </c>
      <c r="H6" s="16">
        <f>+'YR REPORTS'!J37</f>
        <v>5.6166639626454291</v>
      </c>
      <c r="I6" s="16">
        <f>+'YR REPORTS'!K37</f>
        <v>5.5452692876485834</v>
      </c>
      <c r="J6" s="16">
        <f>+'YR REPORTS'!L37</f>
        <v>6.184271059870321</v>
      </c>
      <c r="K6" s="16">
        <f>+'YR REPORTS'!M37</f>
        <v>8.0409700604575445</v>
      </c>
      <c r="L6" s="16">
        <f>+'YR REPORTS'!N37</f>
        <v>10.882832937761087</v>
      </c>
      <c r="M6" s="16">
        <f>+'YR REPORTS'!O37</f>
        <v>10.717896571357278</v>
      </c>
      <c r="N6" s="16">
        <f>+'YR REPORTS'!P37</f>
        <v>6.4426576856852824</v>
      </c>
      <c r="O6" s="16"/>
      <c r="P6" s="16"/>
      <c r="Q6" s="16"/>
      <c r="R6" s="16"/>
      <c r="S6" s="16"/>
      <c r="T6" s="16"/>
      <c r="U6" s="16"/>
      <c r="V6" s="16"/>
      <c r="W6" s="16"/>
      <c r="X6" s="4" t="s">
        <v>373</v>
      </c>
      <c r="Y6" s="16">
        <f>+'YR REPORTS'!U37</f>
        <v>12.20138273730754</v>
      </c>
      <c r="Z6" s="16">
        <f>+'YR REPORTS'!V37</f>
        <v>12.222288269446139</v>
      </c>
      <c r="AA6" s="16">
        <f>+'YR REPORTS'!W37</f>
        <v>10.578132897928985</v>
      </c>
      <c r="AB6" s="16">
        <f>+'YR REPORTS'!X37</f>
        <v>7.2112315226668686</v>
      </c>
      <c r="AC6" s="16">
        <f>+'YR REPORTS'!Y37</f>
        <v>6.2867792382181111</v>
      </c>
      <c r="AD6" s="16">
        <f>+'YR REPORTS'!Z37</f>
        <v>6.0074420484118969</v>
      </c>
      <c r="AE6" s="16">
        <f>+'YR REPORTS'!AA37</f>
        <v>5.9475713835116082</v>
      </c>
      <c r="AF6" s="16">
        <f>+'YR REPORTS'!AB37</f>
        <v>6.1377372260140231</v>
      </c>
      <c r="AG6" s="16">
        <f>+'YR REPORTS'!AC37</f>
        <v>6.427105905001536</v>
      </c>
      <c r="AH6" s="16">
        <f>+'YR REPORTS'!AD37</f>
        <v>7.1998326128504662</v>
      </c>
      <c r="AI6" s="16">
        <f>+'YR REPORTS'!AE37</f>
        <v>9.1386282933140954</v>
      </c>
      <c r="AJ6" s="16">
        <f>+'YR REPORTS'!AF37</f>
        <v>12.529201940498458</v>
      </c>
      <c r="AK6" s="16">
        <f>+'YR REPORTS'!AG37</f>
        <v>6.8660102320899714</v>
      </c>
      <c r="AL6" s="16"/>
      <c r="AN6" s="4" t="s">
        <v>152</v>
      </c>
      <c r="AO6" s="16">
        <f>+'YR REPORTS'!AK37</f>
        <v>12.505497333499976</v>
      </c>
      <c r="AP6" s="16">
        <f>+'YR REPORTS'!AL37</f>
        <v>12.534286307081457</v>
      </c>
      <c r="AQ6" s="16">
        <f>+'YR REPORTS'!AM37</f>
        <v>11.205580674088294</v>
      </c>
      <c r="AR6" s="16">
        <f>+'YR REPORTS'!AN37</f>
        <v>7.8180437962099827</v>
      </c>
      <c r="AS6" s="16">
        <f>+'YR REPORTS'!AO37</f>
        <v>6.9700529775926272</v>
      </c>
      <c r="AT6" s="16">
        <f>+'YR REPORTS'!AP37</f>
        <v>6.4970139239579918</v>
      </c>
      <c r="AU6" s="16">
        <f>+'YR REPORTS'!AQ37</f>
        <v>6.4505252323832147</v>
      </c>
      <c r="AV6" s="16">
        <f>+'YR REPORTS'!AR37</f>
        <v>6.6319950215722692</v>
      </c>
      <c r="AW6" s="16">
        <f>+'YR REPORTS'!AS37</f>
        <v>6.9896222452026349</v>
      </c>
      <c r="AX6" s="16">
        <f>+'YR REPORTS'!AT37</f>
        <v>7.7256950715852355</v>
      </c>
      <c r="AY6" s="16">
        <f>+'YR REPORTS'!AU37</f>
        <v>9.7327618107308957</v>
      </c>
      <c r="AZ6" s="16">
        <f>+'YR REPORTS'!AV37</f>
        <v>13.170168094604094</v>
      </c>
    </row>
    <row r="7" spans="1:61">
      <c r="A7" s="4" t="s">
        <v>618</v>
      </c>
      <c r="B7" s="16">
        <f>+'YR REPORTS'!D39</f>
        <v>1.7844603744428378</v>
      </c>
      <c r="C7" s="16">
        <f>+'YR REPORTS'!E39</f>
        <v>1.7844603744428378</v>
      </c>
      <c r="D7" s="16">
        <f>+'YR REPORTS'!F39</f>
        <v>1.7844603744428378</v>
      </c>
      <c r="E7" s="16">
        <f>+'YR REPORTS'!G39</f>
        <v>1.7844603744428378</v>
      </c>
      <c r="F7" s="16">
        <f>+'YR REPORTS'!H39</f>
        <v>1.7844603744428378</v>
      </c>
      <c r="G7" s="16">
        <f>+'YR REPORTS'!I39</f>
        <v>1.7844603744428378</v>
      </c>
      <c r="H7" s="16">
        <f>+'YR REPORTS'!J39</f>
        <v>1.7844603744428378</v>
      </c>
      <c r="I7" s="16">
        <f>+'YR REPORTS'!K39</f>
        <v>1.7844603744428378</v>
      </c>
      <c r="J7" s="16">
        <f>+'YR REPORTS'!L39</f>
        <v>1.7844603744428378</v>
      </c>
      <c r="K7" s="16">
        <f>+'YR REPORTS'!M39</f>
        <v>1.7844603744428378</v>
      </c>
      <c r="L7" s="16">
        <f>+'YR REPORTS'!N39</f>
        <v>1.7844603744428378</v>
      </c>
      <c r="M7" s="16">
        <f>+'YR REPORTS'!O39</f>
        <v>1.7844603744428378</v>
      </c>
      <c r="N7" s="16">
        <f>+'YR REPORTS'!P39</f>
        <v>1.7844603744428378</v>
      </c>
      <c r="O7" s="16"/>
      <c r="P7" s="16"/>
      <c r="Q7" s="16"/>
      <c r="R7" s="16"/>
      <c r="S7" s="16"/>
      <c r="T7" s="16"/>
      <c r="U7" s="16"/>
      <c r="V7" s="16"/>
      <c r="W7" s="16"/>
      <c r="X7" s="4" t="s">
        <v>618</v>
      </c>
      <c r="Y7" s="16">
        <f>+'YR REPORTS'!U39</f>
        <v>1.9296918674261685</v>
      </c>
      <c r="Z7" s="16">
        <f>+'YR REPORTS'!V39</f>
        <v>1.9296918674261685</v>
      </c>
      <c r="AA7" s="16">
        <f>+'YR REPORTS'!W39</f>
        <v>1.9296918674261685</v>
      </c>
      <c r="AB7" s="16">
        <f>+'YR REPORTS'!X39</f>
        <v>1.9296918674261685</v>
      </c>
      <c r="AC7" s="16">
        <f>+'YR REPORTS'!Y39</f>
        <v>1.9296918674261685</v>
      </c>
      <c r="AD7" s="16">
        <f>+'YR REPORTS'!Z39</f>
        <v>1.9296918674261685</v>
      </c>
      <c r="AE7" s="16">
        <f>+'YR REPORTS'!AA39</f>
        <v>1.9296918674261685</v>
      </c>
      <c r="AF7" s="16">
        <f>+'YR REPORTS'!AB39</f>
        <v>1.9296918674261685</v>
      </c>
      <c r="AG7" s="16">
        <f>+'YR REPORTS'!AC39</f>
        <v>1.9296918674261685</v>
      </c>
      <c r="AH7" s="16">
        <f>+'YR REPORTS'!AD39</f>
        <v>1.9296918674261685</v>
      </c>
      <c r="AI7" s="16">
        <f>+'YR REPORTS'!AE39</f>
        <v>1.9296918674261685</v>
      </c>
      <c r="AJ7" s="16">
        <f>+'YR REPORTS'!AF39</f>
        <v>1.9296918674261685</v>
      </c>
      <c r="AK7" s="16">
        <f>+'YR REPORTS'!AG39</f>
        <v>1.9296918674261685</v>
      </c>
      <c r="AL7" s="16"/>
      <c r="AN7" s="4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</row>
    <row r="8" spans="1:61">
      <c r="A8" s="4" t="s">
        <v>374</v>
      </c>
      <c r="B8" s="16">
        <f>+'YR REPORTS'!D76</f>
        <v>7.35</v>
      </c>
      <c r="C8" s="16">
        <f>+'YR REPORTS'!E76</f>
        <v>7.35</v>
      </c>
      <c r="D8" s="16">
        <f>+'YR REPORTS'!F76</f>
        <v>7.35</v>
      </c>
      <c r="E8" s="16">
        <f>+'YR REPORTS'!G76</f>
        <v>7.35</v>
      </c>
      <c r="F8" s="16">
        <f>+'YR REPORTS'!H76</f>
        <v>7.35</v>
      </c>
      <c r="G8" s="16">
        <f>+'YR REPORTS'!I76</f>
        <v>6.95</v>
      </c>
      <c r="H8" s="16">
        <f>+'YR REPORTS'!J76</f>
        <v>6.95</v>
      </c>
      <c r="I8" s="16">
        <f>+'YR REPORTS'!K76</f>
        <v>6.5</v>
      </c>
      <c r="J8" s="16">
        <f>+'YR REPORTS'!L76</f>
        <v>6.5</v>
      </c>
      <c r="K8" s="16">
        <f>+'YR REPORTS'!M76</f>
        <v>6.5</v>
      </c>
      <c r="L8" s="16">
        <f>+'YR REPORTS'!N76</f>
        <v>6.5</v>
      </c>
      <c r="M8" s="16">
        <f>+'YR REPORTS'!O76</f>
        <v>6.5</v>
      </c>
      <c r="N8" s="16">
        <f>+'YR REPORTS'!P76</f>
        <v>6.8695394206756761</v>
      </c>
      <c r="O8" s="16"/>
      <c r="P8" s="16"/>
      <c r="Q8" s="16"/>
      <c r="R8" s="16"/>
      <c r="S8" s="16"/>
      <c r="T8" s="16"/>
      <c r="U8" s="16"/>
      <c r="V8" s="16"/>
      <c r="W8" s="16"/>
      <c r="X8" s="4" t="s">
        <v>374</v>
      </c>
      <c r="Y8" s="16">
        <f>+'YR REPORTS'!U76</f>
        <v>6.5</v>
      </c>
      <c r="Z8" s="16">
        <f>+'YR REPORTS'!V76</f>
        <v>6.5</v>
      </c>
      <c r="AA8" s="16">
        <f>+'YR REPORTS'!W76</f>
        <v>6.5</v>
      </c>
      <c r="AB8" s="16">
        <f>+'YR REPORTS'!X76</f>
        <v>6.5</v>
      </c>
      <c r="AC8" s="16">
        <f>+'YR REPORTS'!Y76</f>
        <v>6.5</v>
      </c>
      <c r="AD8" s="16">
        <f>+'YR REPORTS'!Z76</f>
        <v>6.5</v>
      </c>
      <c r="AE8" s="16">
        <f>+'YR REPORTS'!AA76</f>
        <v>6.5</v>
      </c>
      <c r="AF8" s="16">
        <f>+'YR REPORTS'!AB76</f>
        <v>6.5</v>
      </c>
      <c r="AG8" s="16">
        <f>+'YR REPORTS'!AC76</f>
        <v>6.5</v>
      </c>
      <c r="AH8" s="16">
        <f>+'YR REPORTS'!AD76</f>
        <v>6.5</v>
      </c>
      <c r="AI8" s="16">
        <f>+'YR REPORTS'!AE76</f>
        <v>6.5</v>
      </c>
      <c r="AJ8" s="16">
        <f>+'YR REPORTS'!AF76</f>
        <v>6.5</v>
      </c>
      <c r="AK8" s="16">
        <f>+'YR REPORTS'!AG76</f>
        <v>6.4999999999999991</v>
      </c>
      <c r="AL8" s="16"/>
      <c r="AN8" s="4" t="s">
        <v>153</v>
      </c>
      <c r="AO8" s="16">
        <f>+'YR REPORTS'!AK76</f>
        <v>6.5</v>
      </c>
      <c r="AP8" s="16">
        <f>+'YR REPORTS'!AL76</f>
        <v>6.5</v>
      </c>
      <c r="AQ8" s="16">
        <f>+'YR REPORTS'!AM76</f>
        <v>6.5</v>
      </c>
      <c r="AR8" s="16">
        <f>+'YR REPORTS'!AN76</f>
        <v>6.5</v>
      </c>
      <c r="AS8" s="16">
        <f>+'YR REPORTS'!AO76</f>
        <v>6.5</v>
      </c>
      <c r="AT8" s="16">
        <f>+'YR REPORTS'!AP76</f>
        <v>6.5</v>
      </c>
      <c r="AU8" s="16">
        <f>+'YR REPORTS'!AQ76</f>
        <v>6.5</v>
      </c>
      <c r="AV8" s="16">
        <f>+'YR REPORTS'!AR76</f>
        <v>6.5</v>
      </c>
      <c r="AW8" s="16">
        <f>+'YR REPORTS'!AS76</f>
        <v>6.5</v>
      </c>
      <c r="AX8" s="16">
        <f>+'YR REPORTS'!AT76</f>
        <v>6.5</v>
      </c>
      <c r="AY8" s="16">
        <f>+'YR REPORTS'!AU76</f>
        <v>6.5</v>
      </c>
      <c r="AZ8" s="16">
        <f>+'YR REPORTS'!AV76</f>
        <v>6.5</v>
      </c>
    </row>
    <row r="9" spans="1:61">
      <c r="A9" s="1" t="s">
        <v>375</v>
      </c>
      <c r="B9" s="16">
        <f>+'YR REPORTS'!D45</f>
        <v>6.8115109969959287</v>
      </c>
      <c r="C9" s="16">
        <f>+'YR REPORTS'!E45</f>
        <v>6.7843561183324397</v>
      </c>
      <c r="D9" s="16">
        <f>+'YR REPORTS'!F45</f>
        <v>5.0389576922244022</v>
      </c>
      <c r="E9" s="16">
        <f>+'YR REPORTS'!G45</f>
        <v>5.6711577291484083</v>
      </c>
      <c r="F9" s="16">
        <f>+'YR REPORTS'!H45</f>
        <v>5.770089834716293</v>
      </c>
      <c r="G9" s="16">
        <f>+'YR REPORTS'!I45</f>
        <v>6.9216091769166805</v>
      </c>
      <c r="H9" s="16">
        <f>+'YR REPORTS'!J45</f>
        <v>6.7543764338663763</v>
      </c>
      <c r="I9" s="16">
        <f>+'YR REPORTS'!K45</f>
        <v>6.3289109493758868</v>
      </c>
      <c r="J9" s="16">
        <f>+'YR REPORTS'!L45</f>
        <v>6.681074263629311</v>
      </c>
      <c r="K9" s="16">
        <f>+'YR REPORTS'!M45</f>
        <v>7.3387971282780482</v>
      </c>
      <c r="L9" s="16">
        <f>+'YR REPORTS'!N45</f>
        <v>7.5245801037130802</v>
      </c>
      <c r="M9" s="16">
        <f>+'YR REPORTS'!O45</f>
        <v>5.9715908851687152</v>
      </c>
      <c r="N9" s="16">
        <f>+'YR REPORTS'!P45</f>
        <v>6.5765275938675982</v>
      </c>
      <c r="O9" s="16"/>
      <c r="P9" s="16"/>
      <c r="Q9" s="16"/>
      <c r="R9" s="16"/>
      <c r="S9" s="16"/>
      <c r="T9" s="16"/>
      <c r="U9" s="16"/>
      <c r="V9" s="16"/>
      <c r="W9" s="16"/>
      <c r="X9" s="1" t="s">
        <v>375</v>
      </c>
      <c r="Y9" s="16">
        <f>+'YR REPORTS'!U45</f>
        <v>6.7371970542684041</v>
      </c>
      <c r="Z9" s="16">
        <f>+'YR REPORTS'!V45</f>
        <v>6.7581025864070021</v>
      </c>
      <c r="AA9" s="16">
        <f>+'YR REPORTS'!W45</f>
        <v>6.4636720195600716</v>
      </c>
      <c r="AB9" s="16">
        <f>+'YR REPORTS'!X45</f>
        <v>6.5559076725478151</v>
      </c>
      <c r="AC9" s="16">
        <f>+'YR REPORTS'!Y45</f>
        <v>6.6772919078114317</v>
      </c>
      <c r="AD9" s="16">
        <f>+'YR REPORTS'!Z45</f>
        <v>6.9053511559663319</v>
      </c>
      <c r="AE9" s="16">
        <f>+'YR REPORTS'!AA45</f>
        <v>6.9772674277160185</v>
      </c>
      <c r="AF9" s="16">
        <f>+'YR REPORTS'!AB45</f>
        <v>6.9670382524322436</v>
      </c>
      <c r="AG9" s="16">
        <f>+'YR REPORTS'!AC45</f>
        <v>6.9667834892342331</v>
      </c>
      <c r="AH9" s="16">
        <f>+'YR REPORTS'!AD45</f>
        <v>6.9367856100344465</v>
      </c>
      <c r="AI9" s="16">
        <f>+'YR REPORTS'!AE45</f>
        <v>6.8606578306941568</v>
      </c>
      <c r="AJ9" s="16">
        <f>+'YR REPORTS'!AF45</f>
        <v>6.8185536724438132</v>
      </c>
      <c r="AK9" s="16">
        <f>+'YR REPORTS'!AG45</f>
        <v>6.8660102320899714</v>
      </c>
      <c r="AL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</row>
    <row r="10" spans="1:61">
      <c r="A10" s="1" t="s">
        <v>466</v>
      </c>
      <c r="B10" s="16">
        <f>+'FT GAS'!G109</f>
        <v>4.7169999999999996</v>
      </c>
      <c r="C10" s="16">
        <f>+'FT GAS'!H109</f>
        <v>4.774</v>
      </c>
      <c r="D10" s="16">
        <f>+'FT GAS'!I109</f>
        <v>3.6509999999999998</v>
      </c>
      <c r="E10" s="16">
        <f>+'FT GAS'!J109</f>
        <v>3.8370000000000002</v>
      </c>
      <c r="F10" s="16">
        <f>+'FT GAS'!K109</f>
        <v>3.2919999999999998</v>
      </c>
      <c r="G10" s="16">
        <f>+'FT GAS'!L109</f>
        <v>4.2670000000000003</v>
      </c>
      <c r="H10" s="16">
        <f>+'FT GAS'!M109</f>
        <v>4.2160000000000002</v>
      </c>
      <c r="I10" s="16">
        <f>+'FT GAS'!N109</f>
        <v>4.3159999999999998</v>
      </c>
      <c r="J10" s="16">
        <f>+'FT GAS'!O109</f>
        <v>3.7930000000000001</v>
      </c>
      <c r="K10" s="16">
        <f>+'FT GAS'!P109</f>
        <v>4.24</v>
      </c>
      <c r="L10" s="16">
        <f>+'FT GAS'!Q109</f>
        <v>4.3769999999999998</v>
      </c>
      <c r="M10" s="16">
        <f>+'FT GAS'!R109</f>
        <v>4.3259999999999996</v>
      </c>
      <c r="N10" s="16">
        <f>+'FT GAS'!S109</f>
        <v>4.1800330624788282</v>
      </c>
      <c r="O10" s="16"/>
      <c r="P10" s="16"/>
      <c r="Q10" s="16"/>
      <c r="R10" s="16"/>
      <c r="S10" s="16"/>
      <c r="T10" s="16"/>
      <c r="U10" s="16"/>
      <c r="V10" s="16"/>
      <c r="W10" s="16"/>
      <c r="X10" s="1" t="s">
        <v>466</v>
      </c>
      <c r="Y10" s="16">
        <f>+'FT GAS'!X109</f>
        <v>4.3570000000000002</v>
      </c>
      <c r="Z10" s="16">
        <f>+'FT GAS'!Y109</f>
        <v>4.37</v>
      </c>
      <c r="AA10" s="16">
        <f>+'FT GAS'!Z109</f>
        <v>3.9940000000000002</v>
      </c>
      <c r="AB10" s="16">
        <f>+'FT GAS'!AA109</f>
        <v>4.0149999999999997</v>
      </c>
      <c r="AC10" s="16">
        <f>+'FT GAS'!AB109</f>
        <v>4.1669999999999998</v>
      </c>
      <c r="AD10" s="16">
        <f>+'FT GAS'!AC109</f>
        <v>4.3879999999999999</v>
      </c>
      <c r="AE10" s="16">
        <f>+'FT GAS'!AD109</f>
        <v>4.4850000000000003</v>
      </c>
      <c r="AF10" s="16">
        <f>+'FT GAS'!AE109</f>
        <v>4.4859999999999998</v>
      </c>
      <c r="AG10" s="16">
        <f>+'FT GAS'!AF109</f>
        <v>4.4580000000000002</v>
      </c>
      <c r="AH10" s="16">
        <f>+'FT GAS'!AG109</f>
        <v>4.4130000000000003</v>
      </c>
      <c r="AI10" s="16">
        <f>+'FT GAS'!AH109</f>
        <v>4.4390000000000001</v>
      </c>
      <c r="AJ10" s="16">
        <f>+'FT GAS'!AI109</f>
        <v>4.4710000000000001</v>
      </c>
      <c r="AK10" s="16"/>
      <c r="AL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</row>
    <row r="11" spans="1:61">
      <c r="A11" s="1" t="s">
        <v>952</v>
      </c>
      <c r="B11" s="16">
        <f>+'YR REPORTS'!D67</f>
        <v>5.3218848167539266</v>
      </c>
      <c r="C11" s="16">
        <f>+'YR REPORTS'!E67</f>
        <v>5.385549738219896</v>
      </c>
      <c r="D11" s="16">
        <f>+'YR REPORTS'!F67</f>
        <v>4.1312390924956368</v>
      </c>
      <c r="E11" s="16">
        <f>+'YR REPORTS'!G67</f>
        <v>4.3389877835951136</v>
      </c>
      <c r="F11" s="16">
        <f>+'YR REPORTS'!H67</f>
        <v>3.730261780104712</v>
      </c>
      <c r="G11" s="16">
        <f>+'YR REPORTS'!I67</f>
        <v>4.8192670157068074</v>
      </c>
      <c r="H11" s="16">
        <f>+'YR REPORTS'!J67</f>
        <v>4.7623036649214656</v>
      </c>
      <c r="I11" s="16">
        <f>+'YR REPORTS'!K67</f>
        <v>4.8739965095986042</v>
      </c>
      <c r="J11" s="16">
        <f>+'YR REPORTS'!L67</f>
        <v>4.2898429319371729</v>
      </c>
      <c r="K11" s="16">
        <f>+'YR REPORTS'!M67</f>
        <v>4.7891099476439791</v>
      </c>
      <c r="L11" s="16">
        <f>+'YR REPORTS'!N67</f>
        <v>4.9421291448516582</v>
      </c>
      <c r="M11" s="16">
        <f>+'YR REPORTS'!O67</f>
        <v>4.8851657940663173</v>
      </c>
      <c r="N11" s="16"/>
      <c r="O11" s="16"/>
      <c r="P11" s="16"/>
      <c r="Q11" s="16"/>
      <c r="R11" s="16"/>
      <c r="S11" s="16"/>
      <c r="T11" s="16"/>
      <c r="U11" s="16"/>
      <c r="V11" s="16"/>
      <c r="W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</row>
    <row r="12" spans="1:61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</row>
    <row r="34" spans="1:52">
      <c r="A34" s="33" t="s">
        <v>328</v>
      </c>
      <c r="B34" s="142">
        <v>40360</v>
      </c>
      <c r="C34" s="142">
        <v>40391</v>
      </c>
      <c r="D34" s="142">
        <v>40422</v>
      </c>
      <c r="E34" s="142">
        <v>40452</v>
      </c>
      <c r="F34" s="142">
        <v>40483</v>
      </c>
      <c r="G34" s="142">
        <v>40513</v>
      </c>
      <c r="H34" s="142">
        <v>40544</v>
      </c>
      <c r="I34" s="142">
        <v>40575</v>
      </c>
      <c r="J34" s="142">
        <v>40603</v>
      </c>
      <c r="K34" s="142">
        <v>40634</v>
      </c>
      <c r="L34" s="142">
        <v>40664</v>
      </c>
      <c r="M34" s="142">
        <v>40695</v>
      </c>
      <c r="N34" s="12" t="s">
        <v>761</v>
      </c>
      <c r="O34" s="12"/>
      <c r="P34" s="12"/>
      <c r="Q34" s="12"/>
      <c r="R34" s="12"/>
      <c r="S34" s="12"/>
      <c r="T34" s="12"/>
      <c r="U34" s="12"/>
      <c r="V34" s="12"/>
      <c r="W34" s="142"/>
      <c r="X34" s="33" t="s">
        <v>124</v>
      </c>
      <c r="Y34" s="142">
        <v>40725</v>
      </c>
      <c r="Z34" s="142">
        <v>40756</v>
      </c>
      <c r="AA34" s="142">
        <v>40787</v>
      </c>
      <c r="AB34" s="142">
        <v>40817</v>
      </c>
      <c r="AC34" s="142">
        <v>40848</v>
      </c>
      <c r="AD34" s="142">
        <v>40878</v>
      </c>
      <c r="AE34" s="142">
        <v>40909</v>
      </c>
      <c r="AF34" s="142">
        <v>40940</v>
      </c>
      <c r="AG34" s="142">
        <v>40969</v>
      </c>
      <c r="AH34" s="142">
        <v>41000</v>
      </c>
      <c r="AI34" s="142">
        <v>41030</v>
      </c>
      <c r="AJ34" s="142">
        <v>41061</v>
      </c>
      <c r="AK34" s="12" t="s">
        <v>897</v>
      </c>
      <c r="AL34" s="142"/>
      <c r="AM34" s="142"/>
      <c r="AN34" s="33" t="s">
        <v>124</v>
      </c>
      <c r="AO34" s="142">
        <v>41091</v>
      </c>
      <c r="AP34" s="142">
        <v>41122</v>
      </c>
      <c r="AQ34" s="142">
        <v>41153</v>
      </c>
      <c r="AR34" s="142">
        <v>41183</v>
      </c>
      <c r="AS34" s="142">
        <v>41214</v>
      </c>
      <c r="AT34" s="142">
        <v>41244</v>
      </c>
      <c r="AU34" s="142">
        <v>41275</v>
      </c>
      <c r="AV34" s="142">
        <v>41306</v>
      </c>
      <c r="AW34" s="142">
        <v>41334</v>
      </c>
      <c r="AX34" s="142">
        <v>41365</v>
      </c>
      <c r="AY34" s="142">
        <v>41395</v>
      </c>
      <c r="AZ34" s="142">
        <v>41426</v>
      </c>
    </row>
    <row r="35" spans="1:52">
      <c r="A35" s="1" t="s">
        <v>324</v>
      </c>
      <c r="B35" s="166">
        <f>+'YR REPORTS'!D35/'PGC GRAPHS'!$B$1</f>
        <v>1.3007834745289999</v>
      </c>
      <c r="C35" s="166">
        <f>+'YR REPORTS'!E35/'PGC GRAPHS'!$B$1</f>
        <v>1.2953200755400001</v>
      </c>
      <c r="D35" s="166">
        <f>+'YR REPORTS'!F35/'PGC GRAPHS'!$B$1</f>
        <v>1.311370883283</v>
      </c>
      <c r="E35" s="166">
        <f>+'YR REPORTS'!G35/'PGC GRAPHS'!$B$1</f>
        <v>1.4813081206359999</v>
      </c>
      <c r="F35" s="166">
        <f>+'YR REPORTS'!H35/'PGC GRAPHS'!$B$1</f>
        <v>1.464543789847</v>
      </c>
      <c r="G35" s="166">
        <f>+'YR REPORTS'!I35/'PGC GRAPHS'!$B$1</f>
        <v>1.4770290450380001</v>
      </c>
      <c r="H35" s="166">
        <f>+'YR REPORTS'!J35/'PGC GRAPHS'!$B$1</f>
        <v>1.4755950515220002</v>
      </c>
      <c r="I35" s="166">
        <f>+'YR REPORTS'!K35/'PGC GRAPHS'!$B$1</f>
        <v>1.4546270474349996</v>
      </c>
      <c r="J35" s="166">
        <f>+'YR REPORTS'!L35/'PGC GRAPHS'!$B$1</f>
        <v>1.4846070390200001</v>
      </c>
      <c r="K35" s="166">
        <f>+'YR REPORTS'!M35/'PGC GRAPHS'!$B$1</f>
        <v>1.3141767506699999</v>
      </c>
      <c r="L35" s="166">
        <f>+'YR REPORTS'!N35/'PGC GRAPHS'!$B$1</f>
        <v>1.4103320133120001</v>
      </c>
      <c r="M35" s="166">
        <f>+'YR REPORTS'!O35/'PGC GRAPHS'!$B$1</f>
        <v>1.4057787422279999</v>
      </c>
      <c r="N35" s="166">
        <f>+'YR REPORTS'!P35/'PGC GRAPHS'!$B$1</f>
        <v>16.875472033059999</v>
      </c>
      <c r="O35" s="12"/>
      <c r="P35" s="12"/>
      <c r="Q35" s="12"/>
      <c r="R35" s="12"/>
      <c r="S35" s="12"/>
      <c r="T35" s="12"/>
      <c r="U35" s="12"/>
      <c r="V35" s="12"/>
      <c r="W35" s="142"/>
      <c r="X35" s="1" t="s">
        <v>324</v>
      </c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33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</row>
    <row r="36" spans="1:52">
      <c r="A36" s="1" t="s">
        <v>325</v>
      </c>
      <c r="B36" s="166">
        <f>+'YR REPORTS'!D33/'PGC GRAPHS'!$B$1</f>
        <v>1.1993577591692144</v>
      </c>
      <c r="C36" s="166">
        <f>+'YR REPORTS'!E33/'PGC GRAPHS'!$B$1</f>
        <v>1.2738409383058575</v>
      </c>
      <c r="D36" s="166">
        <f>+'YR REPORTS'!F33/'PGC GRAPHS'!$B$1</f>
        <v>0.9108687093007044</v>
      </c>
      <c r="E36" s="166">
        <f>+'YR REPORTS'!G33/'PGC GRAPHS'!$B$1</f>
        <v>1.9624828884300007</v>
      </c>
      <c r="F36" s="166">
        <f>+'YR REPORTS'!H33/'PGC GRAPHS'!$B$1</f>
        <v>4.7131236157165466</v>
      </c>
      <c r="G36" s="166">
        <f>+'YR REPORTS'!I33/'PGC GRAPHS'!$B$1</f>
        <v>13.208730497028951</v>
      </c>
      <c r="H36" s="166">
        <f>+'YR REPORTS'!J33/'PGC GRAPHS'!$B$1</f>
        <v>12.704318107405065</v>
      </c>
      <c r="I36" s="166">
        <f>+'YR REPORTS'!K33/'PGC GRAPHS'!$B$1</f>
        <v>7.4731871880369329</v>
      </c>
      <c r="J36" s="166">
        <f>+'YR REPORTS'!L33/'PGC GRAPHS'!$B$1</f>
        <v>6.555262519003386</v>
      </c>
      <c r="K36" s="166">
        <f>+'YR REPORTS'!M33/'PGC GRAPHS'!$B$1</f>
        <v>3.5278269913922773</v>
      </c>
      <c r="L36" s="166">
        <f>+'YR REPORTS'!N33/'PGC GRAPHS'!$B$1</f>
        <v>2.0675899784591953</v>
      </c>
      <c r="M36" s="166">
        <f>+'YR REPORTS'!O33/'PGC GRAPHS'!$B$1</f>
        <v>1.1642772782298971</v>
      </c>
      <c r="N36" s="166">
        <f>+'YR REPORTS'!P33/'PGC GRAPHS'!$B$1</f>
        <v>56.760866470478028</v>
      </c>
      <c r="O36" s="12"/>
      <c r="P36" s="12"/>
      <c r="Q36" s="12"/>
      <c r="R36" s="12"/>
      <c r="S36" s="12"/>
      <c r="T36" s="12"/>
      <c r="U36" s="12"/>
      <c r="V36" s="12"/>
      <c r="W36" s="142"/>
      <c r="X36" s="1" t="s">
        <v>325</v>
      </c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33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</row>
    <row r="37" spans="1:52"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2"/>
      <c r="P37" s="12"/>
      <c r="Q37" s="12"/>
      <c r="R37" s="12"/>
      <c r="S37" s="12"/>
      <c r="T37" s="12"/>
      <c r="U37" s="12"/>
      <c r="V37" s="12"/>
      <c r="W37" s="142"/>
      <c r="X37" s="33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33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</row>
    <row r="58" spans="1:52">
      <c r="J58" s="231"/>
      <c r="O58" s="11"/>
      <c r="P58" s="166"/>
      <c r="Q58" s="175"/>
    </row>
    <row r="59" spans="1:52">
      <c r="A59" s="33" t="s">
        <v>337</v>
      </c>
      <c r="B59" s="142">
        <v>40360</v>
      </c>
      <c r="C59" s="142">
        <v>40391</v>
      </c>
      <c r="D59" s="142">
        <v>40422</v>
      </c>
      <c r="E59" s="142">
        <v>40452</v>
      </c>
      <c r="F59" s="142">
        <v>40483</v>
      </c>
      <c r="G59" s="142">
        <v>40513</v>
      </c>
      <c r="H59" s="142">
        <v>40544</v>
      </c>
      <c r="I59" s="142">
        <v>40575</v>
      </c>
      <c r="J59" s="142">
        <v>40603</v>
      </c>
      <c r="K59" s="142">
        <v>40634</v>
      </c>
      <c r="L59" s="142">
        <v>40664</v>
      </c>
      <c r="M59" s="142">
        <v>40695</v>
      </c>
      <c r="N59" s="12" t="s">
        <v>761</v>
      </c>
      <c r="O59" s="11"/>
      <c r="P59" s="12"/>
      <c r="Q59" s="12"/>
      <c r="R59" s="12"/>
      <c r="S59" s="12"/>
      <c r="T59" s="12"/>
      <c r="U59" s="12"/>
      <c r="V59" s="12"/>
      <c r="W59" s="142"/>
      <c r="X59" s="33" t="s">
        <v>124</v>
      </c>
      <c r="Y59" s="142">
        <v>40725</v>
      </c>
      <c r="Z59" s="142">
        <v>40756</v>
      </c>
      <c r="AA59" s="142">
        <v>40787</v>
      </c>
      <c r="AB59" s="142">
        <v>40817</v>
      </c>
      <c r="AC59" s="142">
        <v>40848</v>
      </c>
      <c r="AD59" s="142">
        <v>40878</v>
      </c>
      <c r="AE59" s="142">
        <v>40909</v>
      </c>
      <c r="AF59" s="142">
        <v>40940</v>
      </c>
      <c r="AG59" s="142">
        <v>40969</v>
      </c>
      <c r="AH59" s="142">
        <v>41000</v>
      </c>
      <c r="AI59" s="142">
        <v>41030</v>
      </c>
      <c r="AJ59" s="142">
        <v>41061</v>
      </c>
      <c r="AK59" s="12" t="s">
        <v>897</v>
      </c>
      <c r="AL59" s="142"/>
      <c r="AM59" s="142"/>
      <c r="AN59" s="33" t="s">
        <v>124</v>
      </c>
      <c r="AO59" s="142">
        <v>41091</v>
      </c>
      <c r="AP59" s="142">
        <v>41122</v>
      </c>
      <c r="AQ59" s="142">
        <v>41153</v>
      </c>
      <c r="AR59" s="142">
        <v>41183</v>
      </c>
      <c r="AS59" s="142">
        <v>41214</v>
      </c>
      <c r="AT59" s="142">
        <v>41244</v>
      </c>
      <c r="AU59" s="142">
        <v>41275</v>
      </c>
      <c r="AV59" s="142">
        <v>41306</v>
      </c>
      <c r="AW59" s="142">
        <v>41334</v>
      </c>
      <c r="AX59" s="142">
        <v>41365</v>
      </c>
      <c r="AY59" s="142">
        <v>41395</v>
      </c>
      <c r="AZ59" s="142">
        <v>41426</v>
      </c>
    </row>
    <row r="60" spans="1:52" s="99" customFormat="1">
      <c r="A60" s="99" t="s">
        <v>121</v>
      </c>
      <c r="B60" s="166">
        <f>+'YR REPORTS'!D53/'PGC GRAPHS'!$B$1</f>
        <v>2.5001412336982143</v>
      </c>
      <c r="C60" s="166">
        <f>+'YR REPORTS'!E53/'PGC GRAPHS'!$B$1</f>
        <v>2.5691610138458576</v>
      </c>
      <c r="D60" s="166">
        <f>+'YR REPORTS'!F53/'PGC GRAPHS'!$B$1</f>
        <v>2.2222395925837044</v>
      </c>
      <c r="E60" s="166">
        <f>+'YR REPORTS'!G53/'PGC GRAPHS'!$B$1</f>
        <v>3.4437910090660004</v>
      </c>
      <c r="F60" s="166">
        <f>+'YR REPORTS'!H53/'PGC GRAPHS'!$B$1</f>
        <v>6.1776674055635468</v>
      </c>
      <c r="G60" s="166">
        <f>+'YR REPORTS'!I53/'PGC GRAPHS'!$B$1</f>
        <v>14.68575954206695</v>
      </c>
      <c r="H60" s="166">
        <f>+'YR REPORTS'!J53/'PGC GRAPHS'!$B$1</f>
        <v>14.179913158927064</v>
      </c>
      <c r="I60" s="166">
        <f>+'YR REPORTS'!K53/'PGC GRAPHS'!$B$1</f>
        <v>8.9278142354719314</v>
      </c>
      <c r="J60" s="166">
        <f>+'YR REPORTS'!L53/'PGC GRAPHS'!$B$1</f>
        <v>8.0398695580233852</v>
      </c>
      <c r="K60" s="166">
        <f>+'YR REPORTS'!M53/'PGC GRAPHS'!$B$1</f>
        <v>4.8420037420622775</v>
      </c>
      <c r="L60" s="166">
        <f>+'YR REPORTS'!N53/'PGC GRAPHS'!$B$1</f>
        <v>3.4779219917711957</v>
      </c>
      <c r="M60" s="166">
        <f>+'YR REPORTS'!O53/'PGC GRAPHS'!$B$1</f>
        <v>2.5700560204578973</v>
      </c>
      <c r="N60" s="166">
        <f>+'YR REPORTS'!P53/'PGC GRAPHS'!$B$1</f>
        <v>73.636338503538013</v>
      </c>
      <c r="O60" s="166"/>
      <c r="P60" s="124"/>
      <c r="Q60" s="166"/>
      <c r="R60" s="166"/>
      <c r="S60" s="166"/>
      <c r="T60" s="166"/>
      <c r="U60" s="166"/>
      <c r="V60" s="166"/>
      <c r="W60" s="16"/>
      <c r="X60" s="99" t="s">
        <v>121</v>
      </c>
      <c r="Y60" s="166">
        <f>+'YR REPORTS'!U53/$Y$1</f>
        <v>2.7274653281246208</v>
      </c>
      <c r="Z60" s="166">
        <f>+'YR REPORTS'!V53/$Y$1</f>
        <v>2.7330458823941584</v>
      </c>
      <c r="AA60" s="166">
        <f>+'YR REPORTS'!W53/$Y$1</f>
        <v>2.8654225690652195</v>
      </c>
      <c r="AB60" s="166">
        <f>+'YR REPORTS'!X53/$Y$1</f>
        <v>4.9409585329387431</v>
      </c>
      <c r="AC60" s="166">
        <f>+'YR REPORTS'!Y53/$Y$1</f>
        <v>7.411959490390295</v>
      </c>
      <c r="AD60" s="166">
        <f>+'YR REPORTS'!Z53/$Y$1</f>
        <v>10.557623949116619</v>
      </c>
      <c r="AE60" s="166">
        <f>+'YR REPORTS'!AA53/$Y$1</f>
        <v>11.975274458409974</v>
      </c>
      <c r="AF60" s="166">
        <f>+'YR REPORTS'!AB53/$Y$1</f>
        <v>10.09582028876016</v>
      </c>
      <c r="AG60" s="166">
        <f>+'YR REPORTS'!AC53/$Y$1</f>
        <v>8.4046615236559603</v>
      </c>
      <c r="AH60" s="166">
        <f>+'YR REPORTS'!AD53/$Y$1</f>
        <v>5.335043186052669</v>
      </c>
      <c r="AI60" s="166">
        <f>+'YR REPORTS'!AE53/$Y$1</f>
        <v>3.5660676414640688</v>
      </c>
      <c r="AJ60" s="166">
        <f>+'YR REPORTS'!AF53/$Y$1</f>
        <v>2.7070847173674499</v>
      </c>
      <c r="AK60" s="166"/>
      <c r="AL60" s="166"/>
      <c r="AN60" s="99" t="s">
        <v>121</v>
      </c>
      <c r="AO60" s="166">
        <f>+'YR REPORTS'!AK53/$AO$1</f>
        <v>2.8340710462393282</v>
      </c>
      <c r="AP60" s="166">
        <f>+'YR REPORTS'!AL53/$AO$1</f>
        <v>2.8418041926003639</v>
      </c>
      <c r="AQ60" s="166">
        <f>+'YR REPORTS'!AM53/$AO$1</f>
        <v>3.0888382008801312</v>
      </c>
      <c r="AR60" s="166">
        <f>+'YR REPORTS'!AN53/$AO$1</f>
        <v>5.4250585030190628</v>
      </c>
      <c r="AS60" s="166">
        <f>+'YR REPORTS'!AO53/$AO$1</f>
        <v>8.3092444968377333</v>
      </c>
      <c r="AT60" s="166">
        <f>+'YR REPORTS'!AP53/$AO$1</f>
        <v>11.525418034878193</v>
      </c>
      <c r="AU60" s="166">
        <f>+'YR REPORTS'!AQ53/$AO$1</f>
        <v>13.107485506102874</v>
      </c>
      <c r="AV60" s="166">
        <f>+'YR REPORTS'!AR53/$AO$1</f>
        <v>11.012087485911893</v>
      </c>
      <c r="AW60" s="166">
        <f>+'YR REPORTS'!AS53/$AO$1</f>
        <v>9.2332023781978627</v>
      </c>
      <c r="AX60" s="166">
        <f>+'YR REPORTS'!AT53/$AO$1</f>
        <v>5.7892583033263554</v>
      </c>
      <c r="AY60" s="166">
        <f>+'YR REPORTS'!AU53/$AO$1</f>
        <v>3.8533795176244654</v>
      </c>
      <c r="AZ60" s="166">
        <f>+'YR REPORTS'!AV53/$AO$1</f>
        <v>2.8984920447246454</v>
      </c>
    </row>
    <row r="61" spans="1:52" s="99" customFormat="1">
      <c r="A61" s="99" t="s">
        <v>320</v>
      </c>
      <c r="B61" s="166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Q61" s="166"/>
      <c r="R61" s="166"/>
      <c r="S61" s="166"/>
      <c r="T61" s="166"/>
      <c r="U61" s="166"/>
      <c r="V61" s="166"/>
      <c r="W61" s="16"/>
      <c r="Y61" s="166"/>
      <c r="Z61" s="166"/>
      <c r="AA61" s="166"/>
      <c r="AB61" s="166"/>
      <c r="AC61" s="166"/>
      <c r="AD61" s="166"/>
      <c r="AE61" s="166"/>
      <c r="AF61" s="166"/>
      <c r="AG61" s="166"/>
      <c r="AH61" s="166"/>
      <c r="AI61" s="166"/>
      <c r="AJ61" s="166"/>
      <c r="AK61" s="166"/>
      <c r="AL61" s="166"/>
      <c r="AO61" s="166"/>
      <c r="AP61" s="166"/>
      <c r="AQ61" s="166"/>
      <c r="AR61" s="166"/>
      <c r="AS61" s="166"/>
      <c r="AT61" s="166"/>
      <c r="AU61" s="166"/>
      <c r="AV61" s="166"/>
      <c r="AW61" s="166"/>
      <c r="AX61" s="166"/>
      <c r="AY61" s="166"/>
      <c r="AZ61" s="166"/>
    </row>
    <row r="62" spans="1:52" s="99" customFormat="1">
      <c r="A62" s="99" t="s">
        <v>122</v>
      </c>
      <c r="B62" s="166">
        <f>+'YR REPORTS'!D87/$B$1</f>
        <v>1.6917064799999999</v>
      </c>
      <c r="C62" s="166">
        <f>+'YR REPORTS'!E87/$B$1</f>
        <v>1.806883641</v>
      </c>
      <c r="D62" s="166">
        <f>+'YR REPORTS'!F87/$B$1</f>
        <v>1.9862073599999999</v>
      </c>
      <c r="E62" s="166">
        <f>+'YR REPORTS'!G87/$B$1</f>
        <v>3.6103854899999996</v>
      </c>
      <c r="F62" s="166">
        <f>+'YR REPORTS'!H87/$B$1</f>
        <v>8.5158663630000007</v>
      </c>
      <c r="G62" s="166">
        <f>+'YR REPORTS'!I87/$B$1</f>
        <v>17.573902634</v>
      </c>
      <c r="H62" s="166">
        <f>+'YR REPORTS'!J87/$B$1</f>
        <v>17.469238592</v>
      </c>
      <c r="I62" s="166">
        <f>+'YR REPORTS'!K87/$B$1</f>
        <v>10.482709116000001</v>
      </c>
      <c r="J62" s="166">
        <f>+'YR REPORTS'!L87/$B$1</f>
        <v>8.5011254639999994</v>
      </c>
      <c r="K62" s="166">
        <f>+'YR REPORTS'!M87/$B$1</f>
        <v>4.013279356</v>
      </c>
      <c r="L62" s="166">
        <f>+'YR REPORTS'!N87/$B$1</f>
        <v>2.2484609280000005</v>
      </c>
      <c r="M62" s="166">
        <f>+'YR REPORTS'!O87/$B$1</f>
        <v>1.7395652620000002</v>
      </c>
      <c r="N62" s="166">
        <f>+'YR REPORTS'!P87/$B$1</f>
        <v>79.639330686000008</v>
      </c>
      <c r="O62" s="166" t="s">
        <v>477</v>
      </c>
      <c r="P62" s="166" t="s">
        <v>478</v>
      </c>
      <c r="Q62" s="166"/>
      <c r="R62" s="166"/>
      <c r="S62" s="166"/>
      <c r="T62" s="166"/>
      <c r="U62" s="166"/>
      <c r="V62" s="166"/>
      <c r="W62" s="16"/>
      <c r="X62" s="99" t="s">
        <v>122</v>
      </c>
      <c r="Y62" s="166">
        <f>+'YR REPORTS'!U87/$Y$1</f>
        <v>1.6577642604196299</v>
      </c>
      <c r="Z62" s="166">
        <f>+'YR REPORTS'!V87/$Y$1</f>
        <v>1.6577642604196299</v>
      </c>
      <c r="AA62" s="166">
        <f>+'YR REPORTS'!W87/$Y$1</f>
        <v>1.9570699025060776</v>
      </c>
      <c r="AB62" s="166">
        <f>+'YR REPORTS'!X87/$Y$1</f>
        <v>4.5976134983496033</v>
      </c>
      <c r="AC62" s="166">
        <f>+'YR REPORTS'!Y87/$Y$1</f>
        <v>7.7453064020748679</v>
      </c>
      <c r="AD62" s="166">
        <f>+'YR REPORTS'!Z87/$Y$1</f>
        <v>11.431129726960162</v>
      </c>
      <c r="AE62" s="166">
        <f>+'YR REPORTS'!AA87/$Y$1</f>
        <v>13.064379303587923</v>
      </c>
      <c r="AF62" s="166">
        <f>+'YR REPORTS'!AB87/$Y$1</f>
        <v>10.708863073204764</v>
      </c>
      <c r="AG62" s="166">
        <f>+'YR REPORTS'!AC87/$Y$1</f>
        <v>8.5566104720952989</v>
      </c>
      <c r="AH62" s="166">
        <f>+'YR REPORTS'!AD87/$Y$1</f>
        <v>4.923051133662093</v>
      </c>
      <c r="AI62" s="166">
        <f>+'YR REPORTS'!AE87/$Y$1</f>
        <v>2.7030439894613982</v>
      </c>
      <c r="AJ62" s="166">
        <f>+'YR REPORTS'!AF87/$Y$1</f>
        <v>1.6042879939544812</v>
      </c>
      <c r="AK62" s="166"/>
      <c r="AL62" s="166"/>
      <c r="AN62" s="99" t="s">
        <v>122</v>
      </c>
      <c r="AO62" s="166">
        <f>+'YR REPORTS'!AK87/$AO$1</f>
        <v>1.6686411071006273</v>
      </c>
      <c r="AP62" s="166">
        <f>+'YR REPORTS'!AL87/$AO$1</f>
        <v>1.6686411071006273</v>
      </c>
      <c r="AQ62" s="166">
        <f>+'YR REPORTS'!AM87/$AO$1</f>
        <v>1.9703569138815769</v>
      </c>
      <c r="AR62" s="166">
        <f>+'YR REPORTS'!AN87/$AO$1</f>
        <v>4.6314989343345143</v>
      </c>
      <c r="AS62" s="166">
        <f>+'YR REPORTS'!AO87/$AO$1</f>
        <v>7.803894769279851</v>
      </c>
      <c r="AT62" s="166">
        <f>+'YR REPORTS'!AP87/$AO$1</f>
        <v>11.518497350527062</v>
      </c>
      <c r="AU62" s="166">
        <f>+'YR REPORTS'!AQ87/$AO$1</f>
        <v>13.164529476768108</v>
      </c>
      <c r="AV62" s="166">
        <f>+'YR REPORTS'!AR87/$AO$1</f>
        <v>10.790780901638788</v>
      </c>
      <c r="AW62" s="166">
        <f>+'YR REPORTS'!AS87/$AO$1</f>
        <v>8.6214808083428167</v>
      </c>
      <c r="AX62" s="166">
        <f>+'YR REPORTS'!AT87/$AO$1</f>
        <v>4.9595512551353202</v>
      </c>
      <c r="AY62" s="166">
        <f>+'YR REPORTS'!AU87/$AO$1</f>
        <v>2.7221016678948984</v>
      </c>
      <c r="AZ62" s="166">
        <f>+'YR REPORTS'!AV87/$AO$1</f>
        <v>1.6148139746135106</v>
      </c>
    </row>
    <row r="63" spans="1:52" s="99" customFormat="1">
      <c r="A63" s="99" t="s">
        <v>619</v>
      </c>
      <c r="B63" s="179">
        <f>B62-B60</f>
        <v>-0.80843475369821438</v>
      </c>
      <c r="C63" s="179">
        <f t="shared" ref="C63:M63" si="0">C62-C60</f>
        <v>-0.76227737284585761</v>
      </c>
      <c r="D63" s="179">
        <f t="shared" si="0"/>
        <v>-0.23603223258370454</v>
      </c>
      <c r="E63" s="179">
        <f t="shared" si="0"/>
        <v>0.1665944809339992</v>
      </c>
      <c r="F63" s="179">
        <f t="shared" si="0"/>
        <v>2.3381989574364539</v>
      </c>
      <c r="G63" s="179">
        <f t="shared" si="0"/>
        <v>2.8881430919330491</v>
      </c>
      <c r="H63" s="179">
        <f t="shared" si="0"/>
        <v>3.2893254330729356</v>
      </c>
      <c r="I63" s="179">
        <f t="shared" si="0"/>
        <v>1.5548948805280691</v>
      </c>
      <c r="J63" s="179">
        <f t="shared" si="0"/>
        <v>0.46125590597661414</v>
      </c>
      <c r="K63" s="179">
        <f t="shared" si="0"/>
        <v>-0.8287243860622775</v>
      </c>
      <c r="L63" s="179">
        <f t="shared" si="0"/>
        <v>-1.2294610637711951</v>
      </c>
      <c r="M63" s="179">
        <f t="shared" si="0"/>
        <v>-0.8304907584578971</v>
      </c>
      <c r="N63" s="166"/>
      <c r="O63" s="166"/>
      <c r="P63" s="166"/>
      <c r="Q63" s="166"/>
      <c r="R63" s="166"/>
      <c r="S63" s="166"/>
      <c r="T63" s="166"/>
      <c r="U63" s="166"/>
      <c r="V63" s="166"/>
      <c r="W63" s="16"/>
      <c r="Y63" s="166"/>
      <c r="Z63" s="166"/>
      <c r="AA63" s="166"/>
      <c r="AB63" s="166"/>
      <c r="AC63" s="166"/>
      <c r="AD63" s="166"/>
      <c r="AE63" s="166"/>
      <c r="AF63" s="166"/>
      <c r="AG63" s="166"/>
      <c r="AH63" s="166"/>
      <c r="AI63" s="166"/>
      <c r="AJ63" s="166"/>
      <c r="AK63" s="166"/>
      <c r="AL63" s="166"/>
      <c r="AO63" s="166"/>
      <c r="AP63" s="166"/>
      <c r="AQ63" s="166"/>
      <c r="AR63" s="166"/>
      <c r="AS63" s="166"/>
      <c r="AT63" s="166"/>
      <c r="AU63" s="166"/>
      <c r="AV63" s="166"/>
      <c r="AW63" s="166"/>
      <c r="AX63" s="166"/>
      <c r="AY63" s="166"/>
      <c r="AZ63" s="166"/>
    </row>
    <row r="64" spans="1:52" s="99" customFormat="1">
      <c r="A64" s="99" t="s">
        <v>474</v>
      </c>
      <c r="B64" s="166">
        <f>B35</f>
        <v>1.3007834745289999</v>
      </c>
      <c r="C64" s="166">
        <f t="shared" ref="C64:N64" si="1">C35</f>
        <v>1.2953200755400001</v>
      </c>
      <c r="D64" s="166">
        <f t="shared" si="1"/>
        <v>1.311370883283</v>
      </c>
      <c r="E64" s="166">
        <f t="shared" si="1"/>
        <v>1.4813081206359999</v>
      </c>
      <c r="F64" s="166">
        <f t="shared" si="1"/>
        <v>1.464543789847</v>
      </c>
      <c r="G64" s="166">
        <f t="shared" si="1"/>
        <v>1.4770290450380001</v>
      </c>
      <c r="H64" s="166">
        <f t="shared" si="1"/>
        <v>1.4755950515220002</v>
      </c>
      <c r="I64" s="166">
        <f t="shared" si="1"/>
        <v>1.4546270474349996</v>
      </c>
      <c r="J64" s="166">
        <f t="shared" si="1"/>
        <v>1.4846070390200001</v>
      </c>
      <c r="K64" s="166">
        <f t="shared" si="1"/>
        <v>1.3141767506699999</v>
      </c>
      <c r="L64" s="166">
        <f t="shared" si="1"/>
        <v>1.4103320133120001</v>
      </c>
      <c r="M64" s="166">
        <f t="shared" si="1"/>
        <v>1.4057787422279999</v>
      </c>
      <c r="N64" s="166">
        <f t="shared" si="1"/>
        <v>16.875472033059999</v>
      </c>
      <c r="O64" s="166">
        <f>SUM(B64:E64,K64:M64)</f>
        <v>9.5190700601980005</v>
      </c>
      <c r="P64" s="166">
        <f>SUM(F64:J64)</f>
        <v>7.3564019728619998</v>
      </c>
      <c r="Q64" s="166"/>
      <c r="R64" s="166"/>
      <c r="S64" s="166"/>
      <c r="T64" s="166"/>
      <c r="U64" s="166"/>
      <c r="V64" s="166"/>
      <c r="W64" s="16"/>
      <c r="Y64" s="166"/>
      <c r="Z64" s="166"/>
      <c r="AA64" s="166"/>
      <c r="AB64" s="166"/>
      <c r="AC64" s="166"/>
      <c r="AD64" s="166"/>
      <c r="AE64" s="166"/>
      <c r="AF64" s="166"/>
      <c r="AG64" s="166"/>
      <c r="AH64" s="166"/>
      <c r="AI64" s="166"/>
      <c r="AJ64" s="166"/>
      <c r="AK64" s="166"/>
      <c r="AL64" s="166"/>
      <c r="AO64" s="166"/>
      <c r="AP64" s="166"/>
      <c r="AQ64" s="166"/>
      <c r="AR64" s="166"/>
      <c r="AS64" s="166"/>
      <c r="AT64" s="166"/>
      <c r="AU64" s="166"/>
      <c r="AV64" s="166"/>
      <c r="AW64" s="166"/>
      <c r="AX64" s="166"/>
      <c r="AY64" s="166"/>
      <c r="AZ64" s="166"/>
    </row>
    <row r="65" spans="1:52" s="99" customFormat="1">
      <c r="A65" s="99" t="s">
        <v>475</v>
      </c>
      <c r="B65" s="166">
        <f>+'YR REPORTS'!D40/$B$1</f>
        <v>0.3458817080826142</v>
      </c>
      <c r="C65" s="166">
        <f>+'YR REPORTS'!E40/$B$1</f>
        <v>0.3458817080826142</v>
      </c>
      <c r="D65" s="166">
        <f>+'YR REPORTS'!F40/$B$1</f>
        <v>0.42313365412596077</v>
      </c>
      <c r="E65" s="166">
        <f>+'YR REPORTS'!G40/$B$1</f>
        <v>1.0826268788961515</v>
      </c>
      <c r="F65" s="166">
        <f>+'YR REPORTS'!H40/$B$1</f>
        <v>1.8737030348832804</v>
      </c>
      <c r="G65" s="166">
        <f>+'YR REPORTS'!I40/$B$1</f>
        <v>2.7951500981649504</v>
      </c>
      <c r="H65" s="166">
        <f>+'YR REPORTS'!J40/$B$1</f>
        <v>3.2044529708391383</v>
      </c>
      <c r="I65" s="166">
        <f>+'YR REPORTS'!K40/$B$1</f>
        <v>2.6208774866021969</v>
      </c>
      <c r="J65" s="166">
        <f>+'YR REPORTS'!L40/$B$1</f>
        <v>2.0747770422583813</v>
      </c>
      <c r="K65" s="166">
        <f>+'YR REPORTS'!M40/$B$1</f>
        <v>1.1664276709022847</v>
      </c>
      <c r="L65" s="166">
        <f>+'YR REPORTS'!N40/$B$1</f>
        <v>0.60783554659409378</v>
      </c>
      <c r="M65" s="166">
        <f>+'YR REPORTS'!O40/$B$1</f>
        <v>0.33472423362833637</v>
      </c>
      <c r="N65" s="166">
        <f>+'YR REPORTS'!P40/$B$1</f>
        <v>16.875472033060003</v>
      </c>
      <c r="O65" s="166">
        <f>SUM(B65:E65,K65:M65)</f>
        <v>4.306511400312055</v>
      </c>
      <c r="P65" s="166">
        <f>SUM(F65:J65)</f>
        <v>12.568960632747947</v>
      </c>
      <c r="Q65" s="166"/>
      <c r="R65" s="166"/>
      <c r="S65" s="166"/>
      <c r="T65" s="166"/>
      <c r="U65" s="166"/>
      <c r="V65" s="166"/>
      <c r="W65" s="16"/>
      <c r="Y65" s="166"/>
      <c r="Z65" s="166"/>
      <c r="AA65" s="166"/>
      <c r="AB65" s="166"/>
      <c r="AC65" s="166"/>
      <c r="AD65" s="166"/>
      <c r="AE65" s="166"/>
      <c r="AF65" s="166"/>
      <c r="AG65" s="166"/>
      <c r="AH65" s="166"/>
      <c r="AI65" s="166"/>
      <c r="AJ65" s="166"/>
      <c r="AK65" s="166"/>
      <c r="AL65" s="166"/>
      <c r="AO65" s="166"/>
      <c r="AP65" s="166"/>
      <c r="AQ65" s="166"/>
      <c r="AR65" s="166"/>
      <c r="AS65" s="166"/>
      <c r="AT65" s="166"/>
      <c r="AU65" s="166"/>
      <c r="AV65" s="166"/>
      <c r="AW65" s="166"/>
      <c r="AX65" s="166"/>
      <c r="AY65" s="166"/>
      <c r="AZ65" s="166"/>
    </row>
    <row r="66" spans="1:52" s="233" customFormat="1">
      <c r="A66" s="233" t="s">
        <v>476</v>
      </c>
      <c r="B66" s="179">
        <f t="shared" ref="B66:M66" si="2">B65-B64</f>
        <v>-0.95490176644638569</v>
      </c>
      <c r="C66" s="179">
        <f t="shared" si="2"/>
        <v>-0.94943836745738586</v>
      </c>
      <c r="D66" s="179">
        <f t="shared" si="2"/>
        <v>-0.88823722915703929</v>
      </c>
      <c r="E66" s="179">
        <f t="shared" si="2"/>
        <v>-0.39868124173984842</v>
      </c>
      <c r="F66" s="179">
        <f t="shared" si="2"/>
        <v>0.40915924503628043</v>
      </c>
      <c r="G66" s="179">
        <f t="shared" si="2"/>
        <v>1.3181210531269503</v>
      </c>
      <c r="H66" s="179">
        <f t="shared" si="2"/>
        <v>1.7288579193171381</v>
      </c>
      <c r="I66" s="179">
        <f t="shared" si="2"/>
        <v>1.1662504391671973</v>
      </c>
      <c r="J66" s="179">
        <f t="shared" si="2"/>
        <v>0.5901700032383812</v>
      </c>
      <c r="K66" s="179">
        <f t="shared" si="2"/>
        <v>-0.14774907976771523</v>
      </c>
      <c r="L66" s="179">
        <f t="shared" si="2"/>
        <v>-0.80249646671790631</v>
      </c>
      <c r="M66" s="179">
        <f t="shared" si="2"/>
        <v>-1.0710545085996634</v>
      </c>
      <c r="N66" s="179">
        <f>SUM(B66:M66)</f>
        <v>3.1086244689504383E-15</v>
      </c>
      <c r="O66" s="179">
        <f>O64-O65</f>
        <v>5.2125586598859455</v>
      </c>
      <c r="P66" s="179">
        <f>P64-P65</f>
        <v>-5.2125586598859472</v>
      </c>
      <c r="Q66" s="179"/>
      <c r="R66" s="179"/>
      <c r="S66" s="179"/>
      <c r="T66" s="179"/>
      <c r="U66" s="179"/>
      <c r="V66" s="179"/>
      <c r="W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O66" s="179"/>
      <c r="AP66" s="179"/>
      <c r="AQ66" s="179"/>
      <c r="AR66" s="179"/>
      <c r="AS66" s="179"/>
      <c r="AT66" s="179"/>
      <c r="AU66" s="179"/>
      <c r="AV66" s="179"/>
      <c r="AW66" s="179"/>
      <c r="AX66" s="179"/>
      <c r="AY66" s="179"/>
      <c r="AZ66" s="179"/>
    </row>
    <row r="67" spans="1:52" s="99" customFormat="1">
      <c r="A67" s="99" t="s">
        <v>636</v>
      </c>
      <c r="B67" s="166"/>
      <c r="C67" s="179">
        <f>B66+C66</f>
        <v>-1.9043401339037715</v>
      </c>
      <c r="D67" s="179">
        <f>C67+D66</f>
        <v>-2.7925773630608108</v>
      </c>
      <c r="E67" s="179">
        <f t="shared" ref="E67:M67" si="3">D67+E66</f>
        <v>-3.1912586048006593</v>
      </c>
      <c r="F67" s="179">
        <f t="shared" si="3"/>
        <v>-2.7820993597643788</v>
      </c>
      <c r="G67" s="179">
        <f t="shared" si="3"/>
        <v>-1.4639783066374286</v>
      </c>
      <c r="H67" s="179">
        <f t="shared" si="3"/>
        <v>0.2648796126797095</v>
      </c>
      <c r="I67" s="179">
        <f t="shared" si="3"/>
        <v>1.4311300518469068</v>
      </c>
      <c r="J67" s="179">
        <f t="shared" si="3"/>
        <v>2.021300055085288</v>
      </c>
      <c r="K67" s="179">
        <f t="shared" si="3"/>
        <v>1.8735509753175728</v>
      </c>
      <c r="L67" s="179">
        <f t="shared" si="3"/>
        <v>1.0710545085996666</v>
      </c>
      <c r="M67" s="179">
        <f t="shared" si="3"/>
        <v>3.1086244689504383E-15</v>
      </c>
      <c r="N67" s="179">
        <f>SUM(B67:M67)</f>
        <v>-5.4723385646379032</v>
      </c>
      <c r="O67" s="166"/>
      <c r="P67" s="166"/>
      <c r="Q67" s="166"/>
      <c r="R67" s="166"/>
      <c r="S67" s="166"/>
      <c r="T67" s="166"/>
      <c r="U67" s="166"/>
      <c r="V67" s="166"/>
      <c r="W67" s="16"/>
      <c r="Y67" s="166"/>
      <c r="Z67" s="166"/>
      <c r="AA67" s="166"/>
      <c r="AB67" s="166"/>
      <c r="AC67" s="166"/>
      <c r="AD67" s="166"/>
      <c r="AE67" s="166"/>
      <c r="AF67" s="166"/>
      <c r="AG67" s="166"/>
      <c r="AH67" s="166"/>
      <c r="AI67" s="166"/>
      <c r="AJ67" s="166"/>
      <c r="AK67" s="166"/>
      <c r="AL67" s="166"/>
      <c r="AO67" s="166"/>
      <c r="AP67" s="166"/>
      <c r="AQ67" s="166"/>
      <c r="AR67" s="166"/>
      <c r="AS67" s="166"/>
      <c r="AT67" s="166"/>
      <c r="AU67" s="166"/>
      <c r="AV67" s="166"/>
      <c r="AW67" s="166"/>
      <c r="AX67" s="166"/>
      <c r="AY67" s="166"/>
      <c r="AZ67" s="166"/>
    </row>
    <row r="68" spans="1:52" s="99" customFormat="1"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66"/>
      <c r="O68" s="166"/>
      <c r="P68" s="166"/>
      <c r="Q68" s="166"/>
      <c r="R68" s="166"/>
      <c r="S68" s="166"/>
      <c r="T68" s="166"/>
      <c r="U68" s="166"/>
      <c r="V68" s="166"/>
      <c r="W68" s="16"/>
      <c r="Y68" s="166"/>
      <c r="Z68" s="166"/>
      <c r="AA68" s="166"/>
      <c r="AB68" s="166"/>
      <c r="AC68" s="166"/>
      <c r="AD68" s="166"/>
      <c r="AE68" s="166"/>
      <c r="AF68" s="166"/>
      <c r="AG68" s="166"/>
      <c r="AH68" s="166"/>
      <c r="AI68" s="166"/>
      <c r="AJ68" s="166"/>
      <c r="AK68" s="166"/>
      <c r="AL68" s="166"/>
      <c r="AO68" s="166"/>
      <c r="AP68" s="166"/>
      <c r="AQ68" s="166"/>
      <c r="AR68" s="166"/>
      <c r="AS68" s="166"/>
      <c r="AT68" s="166"/>
      <c r="AU68" s="166"/>
      <c r="AV68" s="166"/>
      <c r="AW68" s="166"/>
      <c r="AX68" s="166"/>
      <c r="AY68" s="166"/>
      <c r="AZ68" s="166"/>
    </row>
    <row r="69" spans="1:52">
      <c r="K69" s="179"/>
    </row>
    <row r="90" spans="1:52">
      <c r="A90" s="33" t="s">
        <v>637</v>
      </c>
      <c r="B90" s="142">
        <v>40360</v>
      </c>
      <c r="C90" s="142">
        <v>40391</v>
      </c>
      <c r="D90" s="142">
        <v>40422</v>
      </c>
      <c r="E90" s="142">
        <v>40452</v>
      </c>
      <c r="F90" s="142">
        <v>40483</v>
      </c>
      <c r="G90" s="142">
        <v>40513</v>
      </c>
      <c r="H90" s="142">
        <v>40544</v>
      </c>
      <c r="I90" s="142">
        <v>40575</v>
      </c>
      <c r="J90" s="142">
        <v>40603</v>
      </c>
      <c r="K90" s="142">
        <v>40634</v>
      </c>
      <c r="L90" s="142">
        <v>40664</v>
      </c>
      <c r="M90" s="142">
        <v>40695</v>
      </c>
      <c r="N90" s="12" t="s">
        <v>761</v>
      </c>
      <c r="O90" s="12"/>
      <c r="P90" s="12"/>
      <c r="Q90" s="12"/>
      <c r="R90" s="12"/>
      <c r="S90" s="12"/>
      <c r="T90" s="12"/>
      <c r="U90" s="12"/>
      <c r="V90" s="12"/>
      <c r="W90" s="142"/>
      <c r="X90" s="33" t="s">
        <v>638</v>
      </c>
      <c r="Y90" s="142">
        <v>40725</v>
      </c>
      <c r="Z90" s="142">
        <v>40756</v>
      </c>
      <c r="AA90" s="142">
        <v>40787</v>
      </c>
      <c r="AB90" s="142">
        <v>40817</v>
      </c>
      <c r="AC90" s="142">
        <v>40848</v>
      </c>
      <c r="AD90" s="142">
        <v>40878</v>
      </c>
      <c r="AE90" s="142">
        <v>40909</v>
      </c>
      <c r="AF90" s="142">
        <v>40940</v>
      </c>
      <c r="AG90" s="142">
        <v>40969</v>
      </c>
      <c r="AH90" s="142">
        <v>41000</v>
      </c>
      <c r="AI90" s="142">
        <v>41030</v>
      </c>
      <c r="AJ90" s="142">
        <v>41061</v>
      </c>
      <c r="AK90" s="12" t="s">
        <v>897</v>
      </c>
      <c r="AL90" s="142"/>
      <c r="AN90" s="33" t="s">
        <v>638</v>
      </c>
      <c r="AO90" s="142">
        <v>41091</v>
      </c>
      <c r="AP90" s="142">
        <v>41122</v>
      </c>
      <c r="AQ90" s="142">
        <v>41153</v>
      </c>
      <c r="AR90" s="142">
        <v>41183</v>
      </c>
      <c r="AS90" s="142">
        <v>41214</v>
      </c>
      <c r="AT90" s="142">
        <v>41244</v>
      </c>
      <c r="AU90" s="142">
        <v>41275</v>
      </c>
      <c r="AV90" s="142">
        <v>41306</v>
      </c>
      <c r="AW90" s="142">
        <v>41334</v>
      </c>
      <c r="AX90" s="142">
        <v>41365</v>
      </c>
      <c r="AY90" s="142">
        <v>41395</v>
      </c>
      <c r="AZ90" s="142">
        <v>41426</v>
      </c>
    </row>
    <row r="91" spans="1:52">
      <c r="A91" s="1" t="s">
        <v>121</v>
      </c>
      <c r="B91" s="166">
        <f>+'YR REPORTS'!D54/$B$1</f>
        <v>2.5001412336982143</v>
      </c>
      <c r="C91" s="166">
        <f>+'YR REPORTS'!E54/$B$1</f>
        <v>5.0693022475440728</v>
      </c>
      <c r="D91" s="166">
        <f>+'YR REPORTS'!F54/$B$1</f>
        <v>7.2915418401277776</v>
      </c>
      <c r="E91" s="166">
        <f>+'YR REPORTS'!G54/$B$1</f>
        <v>10.735332849193778</v>
      </c>
      <c r="F91" s="166">
        <f>+'YR REPORTS'!H54/$B$1</f>
        <v>16.913000254757321</v>
      </c>
      <c r="G91" s="166">
        <f>+'YR REPORTS'!I54/$B$1</f>
        <v>31.598759796824272</v>
      </c>
      <c r="H91" s="166">
        <f>+'YR REPORTS'!J54/$B$1</f>
        <v>45.77867295575134</v>
      </c>
      <c r="I91" s="166">
        <f>+'YR REPORTS'!K54/$B$1</f>
        <v>54.706487191223275</v>
      </c>
      <c r="J91" s="166">
        <f>+'YR REPORTS'!L54/$B$1</f>
        <v>62.746356749246658</v>
      </c>
      <c r="K91" s="166">
        <f>+'YR REPORTS'!M54/$B$1</f>
        <v>67.588360491308933</v>
      </c>
      <c r="L91" s="166">
        <f>+'YR REPORTS'!N54/$B$1</f>
        <v>71.066282483080116</v>
      </c>
      <c r="M91" s="166">
        <f>+'YR REPORTS'!O54/$B$1</f>
        <v>73.636338503538013</v>
      </c>
      <c r="N91" s="166"/>
      <c r="W91" s="166"/>
      <c r="X91" s="1" t="s">
        <v>121</v>
      </c>
      <c r="Y91" s="166">
        <f>+'YR REPORTS'!U54/$Y$1</f>
        <v>2.7274653281246208</v>
      </c>
      <c r="Z91" s="166">
        <f>+'YR REPORTS'!V54/$Y$1</f>
        <v>5.4605112105187796</v>
      </c>
      <c r="AA91" s="166">
        <f>+'YR REPORTS'!W54/$Y$1</f>
        <v>8.3259337795839983</v>
      </c>
      <c r="AB91" s="166">
        <f>+'YR REPORTS'!X54/$Y$1</f>
        <v>13.266892312522742</v>
      </c>
      <c r="AC91" s="166">
        <f>+'YR REPORTS'!Y54/$Y$1</f>
        <v>20.678851802913041</v>
      </c>
      <c r="AD91" s="166">
        <f>+'YR REPORTS'!Z54/$Y$1</f>
        <v>31.236475752029659</v>
      </c>
      <c r="AE91" s="166">
        <f>+'YR REPORTS'!AA54/$Y$1</f>
        <v>43.211750210439632</v>
      </c>
      <c r="AF91" s="166">
        <f>+'YR REPORTS'!AB54/$Y$1</f>
        <v>53.307570499199791</v>
      </c>
      <c r="AG91" s="166">
        <f>+'YR REPORTS'!AC54/$Y$1</f>
        <v>61.712232022855751</v>
      </c>
      <c r="AH91" s="166">
        <f>+'YR REPORTS'!AD54/$Y$1</f>
        <v>67.047275208908417</v>
      </c>
      <c r="AI91" s="166">
        <f>+'YR REPORTS'!AE54/$Y$1</f>
        <v>70.61334285037249</v>
      </c>
      <c r="AJ91" s="166">
        <f>+'YR REPORTS'!AF54/$Y$1</f>
        <v>73.320427567739955</v>
      </c>
      <c r="AK91" s="166"/>
      <c r="AL91" s="166"/>
      <c r="AN91" s="1" t="s">
        <v>121</v>
      </c>
      <c r="AO91" s="166">
        <f>+'YR REPORTS'!AK54/$AO$1</f>
        <v>2.8340710462393282</v>
      </c>
      <c r="AP91" s="166">
        <f>+'YR REPORTS'!AL54/$AO$1</f>
        <v>5.6758752388396916</v>
      </c>
      <c r="AQ91" s="166">
        <f>+'YR REPORTS'!AM54/$AO$1</f>
        <v>8.7647134397198219</v>
      </c>
      <c r="AR91" s="166">
        <f>+'YR REPORTS'!AN54/$AO$1</f>
        <v>14.189771942738885</v>
      </c>
      <c r="AS91" s="166">
        <f>+'YR REPORTS'!AO54/$AO$1</f>
        <v>22.499016439576618</v>
      </c>
      <c r="AT91" s="166">
        <f>+'YR REPORTS'!AP54/$AO$1</f>
        <v>34.024434474454814</v>
      </c>
      <c r="AU91" s="166">
        <f>+'YR REPORTS'!AQ54/$AO$1</f>
        <v>47.13191998055769</v>
      </c>
      <c r="AV91" s="166">
        <f>+'YR REPORTS'!AR54/$AO$1</f>
        <v>58.144007466469581</v>
      </c>
      <c r="AW91" s="166">
        <f>+'YR REPORTS'!AS54/$AO$1</f>
        <v>67.377209844667433</v>
      </c>
      <c r="AX91" s="166">
        <f>+'YR REPORTS'!AT54/$AO$1</f>
        <v>73.166468147993783</v>
      </c>
      <c r="AY91" s="166">
        <f>+'YR REPORTS'!AU54/$AO$1</f>
        <v>77.019847665618258</v>
      </c>
      <c r="AZ91" s="166">
        <f>+'YR REPORTS'!AV54/$AO$1</f>
        <v>79.918339710342906</v>
      </c>
    </row>
    <row r="92" spans="1:52">
      <c r="A92" s="1" t="s">
        <v>122</v>
      </c>
      <c r="B92" s="166">
        <f>+'YR REPORTS'!D88/$B$1</f>
        <v>1.6917064799999999</v>
      </c>
      <c r="C92" s="166">
        <f>+'YR REPORTS'!E88/$B$1</f>
        <v>3.4985901210000003</v>
      </c>
      <c r="D92" s="166">
        <f>+'YR REPORTS'!F88/$B$1</f>
        <v>5.4847974810000002</v>
      </c>
      <c r="E92" s="166">
        <f>+'YR REPORTS'!G88/$B$1</f>
        <v>9.0951829710000016</v>
      </c>
      <c r="F92" s="166">
        <f>+'YR REPORTS'!H88/$B$1</f>
        <v>17.611049334</v>
      </c>
      <c r="G92" s="166">
        <f>+'YR REPORTS'!I88/$B$1</f>
        <v>35.184951967999993</v>
      </c>
      <c r="H92" s="166">
        <f>+'YR REPORTS'!J88/$B$1</f>
        <v>52.654190559999996</v>
      </c>
      <c r="I92" s="166">
        <f>+'YR REPORTS'!K88/$B$1</f>
        <v>63.136899675999999</v>
      </c>
      <c r="J92" s="166">
        <f>+'YR REPORTS'!L88/$B$1</f>
        <v>71.638025139999996</v>
      </c>
      <c r="K92" s="166">
        <f>+'YR REPORTS'!M88/$B$1</f>
        <v>75.651304496000009</v>
      </c>
      <c r="L92" s="166">
        <f>+'YR REPORTS'!N88/$B$1</f>
        <v>77.899765424000009</v>
      </c>
      <c r="M92" s="166">
        <f>+'YR REPORTS'!O88/$B$1</f>
        <v>79.639330686000008</v>
      </c>
      <c r="N92" s="166"/>
      <c r="W92" s="166"/>
      <c r="X92" s="1" t="s">
        <v>122</v>
      </c>
      <c r="Y92" s="166">
        <f>+'YR REPORTS'!U88/$Y$1</f>
        <v>1.6577642604196299</v>
      </c>
      <c r="Z92" s="166">
        <f>+'YR REPORTS'!V88/$Y$1</f>
        <v>3.3155285208392598</v>
      </c>
      <c r="AA92" s="166">
        <f>+'YR REPORTS'!W88/$Y$1</f>
        <v>5.2725984233453378</v>
      </c>
      <c r="AB92" s="166">
        <f>+'YR REPORTS'!X88/$Y$1</f>
        <v>9.870211921694942</v>
      </c>
      <c r="AC92" s="166">
        <f>+'YR REPORTS'!Y88/$Y$1</f>
        <v>17.615518323769809</v>
      </c>
      <c r="AD92" s="166">
        <f>+'YR REPORTS'!Z88/$Y$1</f>
        <v>29.046648050729967</v>
      </c>
      <c r="AE92" s="166">
        <f>+'YR REPORTS'!AA88/$Y$1</f>
        <v>42.111027354317891</v>
      </c>
      <c r="AF92" s="166">
        <f>+'YR REPORTS'!AB88/$Y$1</f>
        <v>52.819890427522651</v>
      </c>
      <c r="AG92" s="166">
        <f>+'YR REPORTS'!AC88/$Y$1</f>
        <v>61.376500899617952</v>
      </c>
      <c r="AH92" s="166">
        <f>+'YR REPORTS'!AD88/$Y$1</f>
        <v>66.299552033280051</v>
      </c>
      <c r="AI92" s="166">
        <f>+'YR REPORTS'!AE88/$Y$1</f>
        <v>69.002596022741443</v>
      </c>
      <c r="AJ92" s="166">
        <f>+'YR REPORTS'!AF88/$Y$1</f>
        <v>70.606884016695915</v>
      </c>
      <c r="AK92" s="166"/>
      <c r="AL92" s="166"/>
      <c r="AN92" s="1" t="s">
        <v>122</v>
      </c>
      <c r="AO92" s="166">
        <f>+'YR REPORTS'!AK88/$AO$1</f>
        <v>1.6686411071006273</v>
      </c>
      <c r="AP92" s="166">
        <f>+'YR REPORTS'!AL88/$AO$1</f>
        <v>3.3372822142012546</v>
      </c>
      <c r="AQ92" s="166">
        <f>+'YR REPORTS'!AM88/$AO$1</f>
        <v>5.3076391280828314</v>
      </c>
      <c r="AR92" s="166">
        <f>+'YR REPORTS'!AN88/$AO$1</f>
        <v>9.9391380624173475</v>
      </c>
      <c r="AS92" s="166">
        <f>+'YR REPORTS'!AO88/$AO$1</f>
        <v>17.743032831697196</v>
      </c>
      <c r="AT92" s="166">
        <f>+'YR REPORTS'!AP88/$AO$1</f>
        <v>29.261530182224259</v>
      </c>
      <c r="AU92" s="166">
        <f>+'YR REPORTS'!AQ88/$AO$1</f>
        <v>42.426059658992365</v>
      </c>
      <c r="AV92" s="166">
        <f>+'YR REPORTS'!AR88/$AO$1</f>
        <v>53.216840560631155</v>
      </c>
      <c r="AW92" s="166">
        <f>+'YR REPORTS'!AS88/$AO$1</f>
        <v>61.838321368973972</v>
      </c>
      <c r="AX92" s="166">
        <f>+'YR REPORTS'!AT88/$AO$1</f>
        <v>66.797872624109289</v>
      </c>
      <c r="AY92" s="166">
        <f>+'YR REPORTS'!AU88/$AO$1</f>
        <v>69.519974292004179</v>
      </c>
      <c r="AZ92" s="166">
        <f>+'YR REPORTS'!AV88/$AO$1</f>
        <v>71.134788266617704</v>
      </c>
    </row>
    <row r="112" spans="1:52">
      <c r="A112" s="33" t="s">
        <v>336</v>
      </c>
      <c r="B112" s="142">
        <v>40360</v>
      </c>
      <c r="C112" s="142">
        <v>40391</v>
      </c>
      <c r="D112" s="142">
        <v>40422</v>
      </c>
      <c r="E112" s="142">
        <v>40452</v>
      </c>
      <c r="F112" s="142">
        <v>40483</v>
      </c>
      <c r="G112" s="142">
        <v>40513</v>
      </c>
      <c r="H112" s="142">
        <v>40544</v>
      </c>
      <c r="I112" s="142">
        <v>40575</v>
      </c>
      <c r="J112" s="142">
        <v>40603</v>
      </c>
      <c r="K112" s="142">
        <v>40634</v>
      </c>
      <c r="L112" s="142">
        <v>40664</v>
      </c>
      <c r="M112" s="142">
        <v>40695</v>
      </c>
      <c r="N112" s="12" t="s">
        <v>761</v>
      </c>
      <c r="O112" s="12"/>
      <c r="P112" s="12"/>
      <c r="Q112" s="12"/>
      <c r="R112" s="12"/>
      <c r="S112" s="12"/>
      <c r="T112" s="12"/>
      <c r="U112" s="12"/>
      <c r="V112" s="12"/>
      <c r="W112" s="142"/>
      <c r="X112" s="33" t="s">
        <v>311</v>
      </c>
      <c r="Y112" s="142">
        <v>40725</v>
      </c>
      <c r="Z112" s="142">
        <v>40756</v>
      </c>
      <c r="AA112" s="142">
        <v>40787</v>
      </c>
      <c r="AB112" s="142">
        <v>40817</v>
      </c>
      <c r="AC112" s="142">
        <v>40848</v>
      </c>
      <c r="AD112" s="142">
        <v>40878</v>
      </c>
      <c r="AE112" s="142">
        <v>40909</v>
      </c>
      <c r="AF112" s="142">
        <v>40940</v>
      </c>
      <c r="AG112" s="142">
        <v>40969</v>
      </c>
      <c r="AH112" s="142">
        <v>41000</v>
      </c>
      <c r="AI112" s="142">
        <v>41030</v>
      </c>
      <c r="AJ112" s="142">
        <v>41061</v>
      </c>
      <c r="AK112" s="12" t="s">
        <v>897</v>
      </c>
      <c r="AL112" s="142"/>
      <c r="AN112" s="33" t="s">
        <v>311</v>
      </c>
      <c r="AO112" s="142">
        <v>41091</v>
      </c>
      <c r="AP112" s="142">
        <v>41122</v>
      </c>
      <c r="AQ112" s="142">
        <v>41153</v>
      </c>
      <c r="AR112" s="142">
        <v>41183</v>
      </c>
      <c r="AS112" s="142">
        <v>41214</v>
      </c>
      <c r="AT112" s="142">
        <v>41244</v>
      </c>
      <c r="AU112" s="142">
        <v>41275</v>
      </c>
      <c r="AV112" s="142">
        <v>41306</v>
      </c>
      <c r="AW112" s="142">
        <v>41334</v>
      </c>
      <c r="AX112" s="142">
        <v>41365</v>
      </c>
      <c r="AY112" s="142">
        <v>41395</v>
      </c>
      <c r="AZ112" s="142">
        <v>41426</v>
      </c>
    </row>
    <row r="113" spans="1:52">
      <c r="A113" s="1" t="s">
        <v>125</v>
      </c>
      <c r="B113" s="166">
        <f>+'YR REPORTS'!D89/$B$1</f>
        <v>-0.93059763369821435</v>
      </c>
      <c r="C113" s="166">
        <f>+'YR REPORTS'!E89/$B$1</f>
        <v>-0.96529025284585757</v>
      </c>
      <c r="D113" s="166">
        <f>+'YR REPORTS'!F89/$B$1</f>
        <v>-0.3178275025837044</v>
      </c>
      <c r="E113" s="166">
        <f>+'YR REPORTS'!G89/$B$1</f>
        <v>0.15967331093399925</v>
      </c>
      <c r="F113" s="166">
        <f>+'YR REPORTS'!H89/$B$1</f>
        <v>2.2951809274364532</v>
      </c>
      <c r="G113" s="166">
        <f>+'YR REPORTS'!I89/$B$1</f>
        <v>5.1436816919330486</v>
      </c>
      <c r="H113" s="166">
        <f>+'YR REPORTS'!J89/$B$1</f>
        <v>3.2966047330729364</v>
      </c>
      <c r="I113" s="166">
        <f>+'YR REPORTS'!K89/$B$1</f>
        <v>1.5548948805280682</v>
      </c>
      <c r="J113" s="166">
        <f>+'YR REPORTS'!L89/$B$1</f>
        <v>0.421255905976614</v>
      </c>
      <c r="K113" s="166">
        <f>+'YR REPORTS'!M89/$B$1</f>
        <v>-0.98372438606227697</v>
      </c>
      <c r="L113" s="166">
        <f>+'YR REPORTS'!N89/$B$1</f>
        <v>-1.4144610637711952</v>
      </c>
      <c r="M113" s="166">
        <f>+'YR REPORTS'!O89/$B$1</f>
        <v>-1.0204907584578973</v>
      </c>
      <c r="W113" s="166"/>
      <c r="X113" s="1" t="s">
        <v>125</v>
      </c>
      <c r="Y113" s="166">
        <f>+'YR REPORTS'!U89/$Y$1</f>
        <v>-1.2697010677049909</v>
      </c>
      <c r="Z113" s="166">
        <f>+'YR REPORTS'!V89/$Y$1</f>
        <v>-1.2952816219745282</v>
      </c>
      <c r="AA113" s="166">
        <f>+'YR REPORTS'!W89/$Y$1</f>
        <v>-1.008352666559142</v>
      </c>
      <c r="AB113" s="166">
        <f>+'YR REPORTS'!X89/$Y$1</f>
        <v>-0.40334503458913973</v>
      </c>
      <c r="AC113" s="166">
        <f>+'YR REPORTS'!Y89/$Y$1</f>
        <v>0.30334691168457267</v>
      </c>
      <c r="AD113" s="166">
        <f>+'YR REPORTS'!Z89/$Y$1</f>
        <v>0.87350577784354244</v>
      </c>
      <c r="AE113" s="166">
        <f>+'YR REPORTS'!AA89/$Y$1</f>
        <v>1.0891048451779484</v>
      </c>
      <c r="AF113" s="166">
        <f>+'YR REPORTS'!AB89/$Y$1</f>
        <v>0.61304278444460225</v>
      </c>
      <c r="AG113" s="166">
        <f>+'YR REPORTS'!AC89/$Y$1</f>
        <v>0.11194894843933918</v>
      </c>
      <c r="AH113" s="166">
        <f>+'YR REPORTS'!AD89/$Y$1</f>
        <v>-0.56699205239057537</v>
      </c>
      <c r="AI113" s="166">
        <f>+'YR REPORTS'!AE89/$Y$1</f>
        <v>-1.0480236520026709</v>
      </c>
      <c r="AJ113" s="166">
        <f>+'YR REPORTS'!AF89/$Y$1</f>
        <v>-1.2927967234129687</v>
      </c>
      <c r="AK113" s="166"/>
      <c r="AL113" s="166"/>
      <c r="AN113" s="1" t="s">
        <v>125</v>
      </c>
      <c r="AO113" s="166">
        <f>+'YR REPORTS'!AK89/$AO$1</f>
        <v>-1.3654299391387008</v>
      </c>
      <c r="AP113" s="166">
        <f>+'YR REPORTS'!AL89/$AO$1</f>
        <v>-1.3931630854997366</v>
      </c>
      <c r="AQ113" s="166">
        <f>+'YR REPORTS'!AM89/$AO$1</f>
        <v>-1.2184812869985544</v>
      </c>
      <c r="AR113" s="166">
        <f>+'YR REPORTS'!AN89/$AO$1</f>
        <v>-0.85355956868454819</v>
      </c>
      <c r="AS113" s="166">
        <f>+'YR REPORTS'!AO89/$AO$1</f>
        <v>-0.53534972755788268</v>
      </c>
      <c r="AT113" s="166">
        <f>+'YR REPORTS'!AP89/$AO$1</f>
        <v>-6.9206843511313201E-3</v>
      </c>
      <c r="AU113" s="166">
        <f>+'YR REPORTS'!AQ89/$AO$1</f>
        <v>5.7043970665235075E-2</v>
      </c>
      <c r="AV113" s="166">
        <f>+'YR REPORTS'!AR89/$AO$1</f>
        <v>-0.22130658427310362</v>
      </c>
      <c r="AW113" s="166">
        <f>+'YR REPORTS'!AS89/$AO$1</f>
        <v>-0.65172156985504548</v>
      </c>
      <c r="AX113" s="166">
        <f>+'YR REPORTS'!AT89/$AO$1</f>
        <v>-0.98470704819103516</v>
      </c>
      <c r="AY113" s="166">
        <f>+'YR REPORTS'!AU89/$AO$1</f>
        <v>-1.3162778497295669</v>
      </c>
      <c r="AZ113" s="166">
        <f>+'YR REPORTS'!AV89/$AO$1</f>
        <v>-1.4736780701111349</v>
      </c>
    </row>
    <row r="114" spans="1:52">
      <c r="A114" s="1" t="s">
        <v>126</v>
      </c>
      <c r="B114" s="166">
        <f>+'YR REPORTS'!D90/$B$1</f>
        <v>0.1887314619704876</v>
      </c>
      <c r="C114" s="166">
        <f>+'YR REPORTS'!E90/$B$1</f>
        <v>-0.77655879087536994</v>
      </c>
      <c r="D114" s="166">
        <f>+'YR REPORTS'!F90/$B$1</f>
        <v>-1.0943862934590742</v>
      </c>
      <c r="E114" s="166">
        <f>+'YR REPORTS'!G90/$B$1</f>
        <v>-0.93471298252507506</v>
      </c>
      <c r="F114" s="166">
        <f>+'YR REPORTS'!H90/$B$1</f>
        <v>1.3604679449113781</v>
      </c>
      <c r="G114" s="166">
        <f>+'YR REPORTS'!I90/$B$1</f>
        <v>6.5041496368444269</v>
      </c>
      <c r="H114" s="166">
        <f>+'YR REPORTS'!J90/$B$1</f>
        <v>9.800754369917362</v>
      </c>
      <c r="I114" s="166">
        <f>+'YR REPORTS'!K90/$B$1</f>
        <v>11.355649250445431</v>
      </c>
      <c r="J114" s="166">
        <f>+'YR REPORTS'!L90/$B$1</f>
        <v>11.776905156422044</v>
      </c>
      <c r="K114" s="166">
        <f>+'YR REPORTS'!M90/$B$1</f>
        <v>10.793180770359768</v>
      </c>
      <c r="L114" s="166">
        <f>+'YR REPORTS'!N90/$B$1</f>
        <v>9.378719706588571</v>
      </c>
      <c r="M114" s="166">
        <f>+'YR REPORTS'!O90/$B$1</f>
        <v>8.3582289481306749</v>
      </c>
      <c r="W114" s="166"/>
      <c r="X114" s="1" t="s">
        <v>126</v>
      </c>
      <c r="Y114" s="166">
        <f>+'YR REPORTS'!U90/$Y$1</f>
        <v>7.0885278804256844</v>
      </c>
      <c r="Z114" s="166">
        <f>+'YR REPORTS'!V90/$Y$1</f>
        <v>5.7932462584511564</v>
      </c>
      <c r="AA114" s="166">
        <f>+'YR REPORTS'!W90/$Y$1</f>
        <v>4.7848935918920139</v>
      </c>
      <c r="AB114" s="166">
        <f>+'YR REPORTS'!X90/$Y$1</f>
        <v>4.3815485573028745</v>
      </c>
      <c r="AC114" s="166">
        <f>+'YR REPORTS'!Y90/$Y$1</f>
        <v>4.6848954689874471</v>
      </c>
      <c r="AD114" s="166">
        <f>+'YR REPORTS'!Z90/$Y$1</f>
        <v>5.5584012468309894</v>
      </c>
      <c r="AE114" s="166">
        <f>+'YR REPORTS'!AA90/$Y$1</f>
        <v>6.6475060920089382</v>
      </c>
      <c r="AF114" s="166">
        <f>+'YR REPORTS'!AB90/$Y$1</f>
        <v>7.26054887645354</v>
      </c>
      <c r="AG114" s="166">
        <f>+'YR REPORTS'!AC90/$Y$1</f>
        <v>7.3724978248928794</v>
      </c>
      <c r="AH114" s="166">
        <f>+'YR REPORTS'!AD90/$Y$1</f>
        <v>6.805505772502304</v>
      </c>
      <c r="AI114" s="166">
        <f>+'YR REPORTS'!AE90/$Y$1</f>
        <v>5.7574821204996329</v>
      </c>
      <c r="AJ114" s="166">
        <f>+'YR REPORTS'!AF90/$Y$1</f>
        <v>4.4646853970866651</v>
      </c>
      <c r="AK114" s="166"/>
      <c r="AL114" s="166"/>
      <c r="AN114" s="1" t="s">
        <v>126</v>
      </c>
      <c r="AO114" s="166">
        <f>+'YR REPORTS'!AK90/$AO$1</f>
        <v>3.0992554579479643</v>
      </c>
      <c r="AP114" s="166">
        <f>+'YR REPORTS'!AL90/$AO$1</f>
        <v>1.7060923724482278</v>
      </c>
      <c r="AQ114" s="166">
        <f>+'YR REPORTS'!AM90/$AO$1</f>
        <v>0.48761108544967346</v>
      </c>
      <c r="AR114" s="166">
        <f>+'YR REPORTS'!AN90/$AO$1</f>
        <v>-0.36594848323487467</v>
      </c>
      <c r="AS114" s="166">
        <f>+'YR REPORTS'!AO90/$AO$1</f>
        <v>-0.90129821079275729</v>
      </c>
      <c r="AT114" s="166">
        <f>+'YR REPORTS'!AP90/$AO$1</f>
        <v>-0.90821889514388865</v>
      </c>
      <c r="AU114" s="166">
        <f>+'YR REPORTS'!AQ90/$AO$1</f>
        <v>-0.85117492447865362</v>
      </c>
      <c r="AV114" s="166">
        <f>+'YR REPORTS'!AR90/$AO$1</f>
        <v>-1.0724815087517572</v>
      </c>
      <c r="AW114" s="166">
        <f>+'YR REPORTS'!AS90/$AO$1</f>
        <v>-1.7242030786068028</v>
      </c>
      <c r="AX114" s="166">
        <f>+'YR REPORTS'!AT90/$AO$1</f>
        <v>-2.7089101267978379</v>
      </c>
      <c r="AY114" s="166">
        <f>+'YR REPORTS'!AU90/$AO$1</f>
        <v>-4.0251879765274046</v>
      </c>
      <c r="AZ114" s="166">
        <f>+'YR REPORTS'!AV90/$AO$1</f>
        <v>-5.4988660466385397</v>
      </c>
    </row>
    <row r="138" spans="1:14">
      <c r="A138" s="242" t="s">
        <v>370</v>
      </c>
      <c r="B138" s="142">
        <v>40360</v>
      </c>
      <c r="C138" s="142">
        <v>40391</v>
      </c>
      <c r="D138" s="142">
        <v>40422</v>
      </c>
      <c r="E138" s="142">
        <v>40452</v>
      </c>
      <c r="F138" s="142">
        <v>40483</v>
      </c>
      <c r="G138" s="142">
        <v>40513</v>
      </c>
      <c r="H138" s="142">
        <v>40544</v>
      </c>
      <c r="I138" s="142">
        <v>40575</v>
      </c>
      <c r="J138" s="142">
        <v>40603</v>
      </c>
      <c r="K138" s="142">
        <v>40634</v>
      </c>
      <c r="L138" s="142">
        <v>40664</v>
      </c>
      <c r="M138" s="142">
        <v>40695</v>
      </c>
      <c r="N138" s="12" t="s">
        <v>761</v>
      </c>
    </row>
    <row r="139" spans="1:14">
      <c r="A139" s="1" t="s">
        <v>126</v>
      </c>
      <c r="B139" s="175">
        <f>+'YR REPORTS'!D91</f>
        <v>2.5630207287047498E-3</v>
      </c>
      <c r="C139" s="175">
        <f>+'YR REPORTS'!E91</f>
        <v>-1.0545863722407362E-2</v>
      </c>
      <c r="D139" s="175">
        <f>+'YR REPORTS'!F91</f>
        <v>-1.4862041156575054E-2</v>
      </c>
      <c r="E139" s="175">
        <f>+'YR REPORTS'!G91</f>
        <v>-1.2693637428484644E-2</v>
      </c>
      <c r="F139" s="175">
        <f>+'YR REPORTS'!H91</f>
        <v>1.8475496915779044E-2</v>
      </c>
      <c r="G139" s="175">
        <f>+'YR REPORTS'!I91</f>
        <v>8.8327988178444283E-2</v>
      </c>
      <c r="H139" s="175">
        <f>+'YR REPORTS'!J91</f>
        <v>0.1330967097100634</v>
      </c>
      <c r="I139" s="175">
        <f>+'YR REPORTS'!K91</f>
        <v>0.15421257331935134</v>
      </c>
      <c r="J139" s="175">
        <f>+'YR REPORTS'!L91</f>
        <v>0.15993333448887059</v>
      </c>
      <c r="K139" s="175">
        <f>+'YR REPORTS'!M91</f>
        <v>0.14657410987159805</v>
      </c>
      <c r="L139" s="175">
        <f>+'YR REPORTS'!N91</f>
        <v>0.12736537281980623</v>
      </c>
      <c r="M139" s="175">
        <f>+'YR REPORTS'!O91</f>
        <v>0.11350685161686966</v>
      </c>
    </row>
    <row r="160" spans="1:14">
      <c r="A160" s="33"/>
      <c r="B160" s="142"/>
      <c r="C160" s="142"/>
      <c r="D160" s="142"/>
      <c r="E160" s="142"/>
      <c r="F160" s="142"/>
      <c r="G160" s="142"/>
      <c r="H160" s="142"/>
      <c r="I160" s="142"/>
      <c r="J160" s="142"/>
      <c r="K160" s="142"/>
      <c r="L160" s="142"/>
      <c r="M160" s="142"/>
      <c r="N160" s="11"/>
    </row>
    <row r="161" spans="2:6">
      <c r="B161" s="108"/>
      <c r="C161" s="108"/>
      <c r="D161" s="108"/>
      <c r="E161" s="108"/>
      <c r="F161" s="108"/>
    </row>
    <row r="162" spans="2:6">
      <c r="B162" s="108"/>
      <c r="C162" s="108"/>
      <c r="D162" s="108"/>
      <c r="E162" s="108"/>
      <c r="F162" s="108"/>
    </row>
    <row r="186" spans="1:14">
      <c r="A186" s="33"/>
      <c r="B186" s="142"/>
      <c r="C186" s="142"/>
      <c r="D186" s="142"/>
      <c r="E186" s="142"/>
      <c r="F186" s="142"/>
      <c r="G186" s="142"/>
      <c r="H186" s="142"/>
      <c r="I186" s="142"/>
      <c r="J186" s="142"/>
      <c r="K186" s="142"/>
      <c r="L186" s="142"/>
      <c r="M186" s="142"/>
      <c r="N186" s="11"/>
    </row>
    <row r="187" spans="1:14"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</row>
    <row r="188" spans="1:14"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</row>
    <row r="189" spans="1:14"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</row>
    <row r="214" spans="1:13">
      <c r="A214" s="33" t="s">
        <v>551</v>
      </c>
      <c r="B214" s="142">
        <v>38899</v>
      </c>
      <c r="C214" s="142">
        <v>38930</v>
      </c>
      <c r="D214" s="142">
        <v>38961</v>
      </c>
      <c r="E214" s="142">
        <v>38991</v>
      </c>
      <c r="F214" s="142">
        <v>39022</v>
      </c>
      <c r="G214" s="142">
        <v>39052</v>
      </c>
      <c r="H214" s="142">
        <v>39083</v>
      </c>
      <c r="I214" s="142">
        <v>39114</v>
      </c>
      <c r="J214" s="142">
        <v>39142</v>
      </c>
      <c r="K214" s="142">
        <v>39173</v>
      </c>
      <c r="L214" s="142">
        <v>39203</v>
      </c>
      <c r="M214" s="142">
        <v>39234</v>
      </c>
    </row>
    <row r="215" spans="1:13">
      <c r="A215" s="1" t="s">
        <v>363</v>
      </c>
      <c r="B215" s="108">
        <f>+MCFS!D144</f>
        <v>-26874.561977522972</v>
      </c>
      <c r="C215" s="108">
        <f>+MCFS!E144</f>
        <v>-37556.423955045932</v>
      </c>
      <c r="D215" s="108">
        <f>+MCFS!F144</f>
        <v>-69338.489580764261</v>
      </c>
      <c r="E215" s="108">
        <f>+MCFS!G144</f>
        <v>-286285.6835667764</v>
      </c>
      <c r="F215" s="108">
        <f>+MCFS!H144</f>
        <v>-314048.54065809754</v>
      </c>
    </row>
    <row r="216" spans="1:13">
      <c r="A216" s="1" t="s">
        <v>364</v>
      </c>
      <c r="B216" s="108">
        <f>+MCFS!D148</f>
        <v>-26874.561977522972</v>
      </c>
      <c r="C216" s="108">
        <f>+MCFS!E148</f>
        <v>-37556.423955045932</v>
      </c>
      <c r="D216" s="108">
        <f>+MCFS!F148</f>
        <v>-69338.489580764261</v>
      </c>
      <c r="E216" s="108">
        <f>+MCFS!G148</f>
        <v>-234268.74522289453</v>
      </c>
      <c r="F216" s="108">
        <f>+MCFS!H148</f>
        <v>-350953.19205780566</v>
      </c>
    </row>
  </sheetData>
  <phoneticPr fontId="0" type="noConversion"/>
  <pageMargins left="0.75" right="0.75" top="1" bottom="1" header="0.5" footer="0.5"/>
  <pageSetup scale="10" orientation="landscape" horizontalDpi="1200" vertic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N32"/>
  <sheetViews>
    <sheetView zoomScale="50" workbookViewId="0">
      <selection activeCell="X3" sqref="X3"/>
    </sheetView>
  </sheetViews>
  <sheetFormatPr defaultRowHeight="20.25"/>
  <cols>
    <col min="1" max="1" width="61.6640625" style="1" bestFit="1" customWidth="1"/>
    <col min="2" max="2" width="13.44140625" style="1" bestFit="1" customWidth="1"/>
    <col min="3" max="13" width="11.44140625" style="1" bestFit="1" customWidth="1"/>
    <col min="14" max="14" width="17.44140625" style="1" bestFit="1" customWidth="1"/>
    <col min="15" max="16384" width="8.88671875" style="1"/>
  </cols>
  <sheetData>
    <row r="1" spans="1:14">
      <c r="A1" s="33" t="s">
        <v>123</v>
      </c>
      <c r="B1" s="31">
        <v>1000000</v>
      </c>
    </row>
    <row r="3" spans="1:14">
      <c r="A3" s="33" t="s">
        <v>329</v>
      </c>
      <c r="B3" s="142">
        <v>40360</v>
      </c>
      <c r="C3" s="142">
        <v>40391</v>
      </c>
      <c r="D3" s="142">
        <v>40422</v>
      </c>
      <c r="E3" s="142">
        <v>40452</v>
      </c>
      <c r="F3" s="142">
        <v>40483</v>
      </c>
      <c r="G3" s="142">
        <v>40513</v>
      </c>
      <c r="H3" s="142">
        <v>40544</v>
      </c>
      <c r="I3" s="142">
        <v>40575</v>
      </c>
      <c r="J3" s="142">
        <v>40603</v>
      </c>
      <c r="K3" s="142">
        <v>40634</v>
      </c>
      <c r="L3" s="142">
        <v>40664</v>
      </c>
      <c r="M3" s="142">
        <v>40695</v>
      </c>
      <c r="N3" s="12" t="s">
        <v>758</v>
      </c>
    </row>
    <row r="4" spans="1:14">
      <c r="A4" s="1" t="s">
        <v>324</v>
      </c>
      <c r="B4" s="166">
        <f>+'YR REPORTS'!D70/'NONPGC GRAPHS'!$B$1</f>
        <v>0.15191705</v>
      </c>
      <c r="C4" s="166">
        <f>+'YR REPORTS'!E70/'NONPGC GRAPHS'!$B$1</f>
        <v>0.14784145000000001</v>
      </c>
      <c r="D4" s="166">
        <f>+'YR REPORTS'!F70/'NONPGC GRAPHS'!$B$1</f>
        <v>0.12527558999999999</v>
      </c>
      <c r="E4" s="166">
        <f>+'YR REPORTS'!G70/'NONPGC GRAPHS'!$B$1</f>
        <v>0.153586</v>
      </c>
      <c r="F4" s="166">
        <f>+'YR REPORTS'!H70/'NONPGC GRAPHS'!$B$1</f>
        <v>0.15768148999999998</v>
      </c>
      <c r="G4" s="166">
        <f>+'YR REPORTS'!I70/'NONPGC GRAPHS'!$B$1</f>
        <v>0.14046796</v>
      </c>
      <c r="H4" s="166">
        <f>+'YR REPORTS'!J70/'NONPGC GRAPHS'!$B$1</f>
        <v>0.14930082</v>
      </c>
      <c r="I4" s="166">
        <f>+'YR REPORTS'!K70/'NONPGC GRAPHS'!$B$1</f>
        <v>0.14912612</v>
      </c>
      <c r="J4" s="166">
        <f>+'YR REPORTS'!L70/'NONPGC GRAPHS'!$B$1</f>
        <v>0.12885064999999998</v>
      </c>
      <c r="K4" s="166">
        <f>+'YR REPORTS'!M70/'NONPGC GRAPHS'!$B$1</f>
        <v>0.13167326999999998</v>
      </c>
      <c r="L4" s="166">
        <f>+'YR REPORTS'!N70/'NONPGC GRAPHS'!$B$1</f>
        <v>0.15472969</v>
      </c>
      <c r="M4" s="166">
        <f>+'YR REPORTS'!O70/'NONPGC GRAPHS'!$B$1</f>
        <v>0.15130872999999997</v>
      </c>
      <c r="N4" s="166">
        <f>+'YR REPORTS'!P70/'NONPGC GRAPHS'!$B$1</f>
        <v>1.7417588199999998</v>
      </c>
    </row>
    <row r="5" spans="1:14">
      <c r="A5" s="1" t="s">
        <v>325</v>
      </c>
      <c r="B5" s="166">
        <f>+'YR REPORTS'!D69/'NONPGC GRAPHS'!$B$1</f>
        <v>1.1779246978010469</v>
      </c>
      <c r="C5" s="166">
        <f>+'YR REPORTS'!E69/'NONPGC GRAPHS'!$B$1</f>
        <v>1.2330016860314137</v>
      </c>
      <c r="D5" s="166">
        <f>+'YR REPORTS'!F69/'NONPGC GRAPHS'!$B$1</f>
        <v>1.0240680712041883</v>
      </c>
      <c r="E5" s="166">
        <f>+'YR REPORTS'!G69/'NONPGC GRAPHS'!$B$1</f>
        <v>1.1835240027923211</v>
      </c>
      <c r="F5" s="166">
        <f>+'YR REPORTS'!H69/'NONPGC GRAPHS'!$B$1</f>
        <v>1.3481576388691101</v>
      </c>
      <c r="G5" s="166">
        <f>+'YR REPORTS'!I69/'NONPGC GRAPHS'!$B$1</f>
        <v>2.0066263747015709</v>
      </c>
      <c r="H5" s="166">
        <f>+'YR REPORTS'!J69/'NONPGC GRAPHS'!$B$1</f>
        <v>2.1115287706806281</v>
      </c>
      <c r="I5" s="166">
        <f>+'YR REPORTS'!K69/'NONPGC GRAPHS'!$B$1</f>
        <v>1.6964196318324609</v>
      </c>
      <c r="J5" s="166">
        <f>+'YR REPORTS'!L69/'NONPGC GRAPHS'!$B$1</f>
        <v>1.4228573488586387</v>
      </c>
      <c r="K5" s="166">
        <f>+'YR REPORTS'!M69/'NONPGC GRAPHS'!$B$1</f>
        <v>1.5761152402094241</v>
      </c>
      <c r="L5" s="166">
        <f>+'YR REPORTS'!N69/'NONPGC GRAPHS'!$B$1</f>
        <v>1.1913526169354276</v>
      </c>
      <c r="M5" s="166">
        <f>+'YR REPORTS'!O69/'NONPGC GRAPHS'!$B$1</f>
        <v>1.080554707155323</v>
      </c>
      <c r="N5" s="166">
        <f>+'YR REPORTS'!P69/'NONPGC GRAPHS'!$B$1</f>
        <v>17.052130787071555</v>
      </c>
    </row>
    <row r="6" spans="1:14"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</row>
    <row r="7" spans="1:14"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</row>
    <row r="8" spans="1:14"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</row>
    <row r="9" spans="1:14"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</row>
    <row r="10" spans="1:14"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</row>
    <row r="11" spans="1:14"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</row>
    <row r="12" spans="1:14"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</row>
    <row r="13" spans="1:14"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</row>
    <row r="14" spans="1:14"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</row>
    <row r="15" spans="1:14"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</row>
    <row r="16" spans="1:14"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</row>
    <row r="17" spans="1:14"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</row>
    <row r="18" spans="1:14"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</row>
    <row r="19" spans="1:14"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</row>
    <row r="20" spans="1:14"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</row>
    <row r="21" spans="1:14"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</row>
    <row r="22" spans="1:14"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</row>
    <row r="23" spans="1:14"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6"/>
    </row>
    <row r="24" spans="1:14">
      <c r="B24" s="166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</row>
    <row r="25" spans="1:14"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</row>
    <row r="26" spans="1:14"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</row>
    <row r="28" spans="1:14">
      <c r="A28" s="33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2"/>
    </row>
    <row r="29" spans="1:14"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</row>
    <row r="30" spans="1:14">
      <c r="A30" s="33" t="s">
        <v>613</v>
      </c>
    </row>
    <row r="31" spans="1:14">
      <c r="A31" s="1" t="s">
        <v>612</v>
      </c>
      <c r="B31" s="32">
        <f>+'YR REPORTS'!D70</f>
        <v>151917.04999999999</v>
      </c>
      <c r="C31" s="32">
        <f>+'YR REPORTS'!E70</f>
        <v>147841.45000000001</v>
      </c>
      <c r="D31" s="32">
        <f>+'YR REPORTS'!F70</f>
        <v>125275.59</v>
      </c>
      <c r="E31" s="32">
        <f>+'YR REPORTS'!G70</f>
        <v>153586</v>
      </c>
      <c r="F31" s="32">
        <f>+'YR REPORTS'!H70</f>
        <v>157681.49</v>
      </c>
      <c r="G31" s="32">
        <f>+'YR REPORTS'!I70</f>
        <v>140467.96</v>
      </c>
      <c r="H31" s="32">
        <f>+'YR REPORTS'!J70</f>
        <v>149300.82</v>
      </c>
      <c r="I31" s="32">
        <f>+'YR REPORTS'!K70</f>
        <v>149126.12</v>
      </c>
      <c r="J31" s="32">
        <f>+'YR REPORTS'!L70</f>
        <v>128850.65</v>
      </c>
      <c r="K31" s="32">
        <f>+'YR REPORTS'!M70</f>
        <v>131673.26999999999</v>
      </c>
      <c r="L31" s="32">
        <f>+'YR REPORTS'!N70</f>
        <v>154729.69</v>
      </c>
      <c r="M31" s="32">
        <f>+'YR REPORTS'!O70</f>
        <v>151308.72999999998</v>
      </c>
    </row>
    <row r="32" spans="1:14">
      <c r="A32" s="1" t="s">
        <v>614</v>
      </c>
      <c r="B32" s="16">
        <f>B31/MCFS!D95</f>
        <v>0.75769480147033141</v>
      </c>
      <c r="C32" s="16">
        <f>C31/MCFS!E95</f>
        <v>0.72575537414030944</v>
      </c>
      <c r="D32" s="16">
        <f>D31/MCFS!F95</f>
        <v>0.56122027596093538</v>
      </c>
      <c r="E32" s="16">
        <f>E31/MCFS!G95</f>
        <v>0.60414363880245925</v>
      </c>
      <c r="F32" s="16">
        <f>F31/MCFS!H95</f>
        <v>0.5055420258295934</v>
      </c>
      <c r="G32" s="16">
        <f>G31/MCFS!I95</f>
        <v>0.36643933550047075</v>
      </c>
      <c r="H32" s="16">
        <f>H31/MCFS!J95</f>
        <v>0.36269984214262357</v>
      </c>
      <c r="I32" s="16">
        <f>I31/MCFS!K95</f>
        <v>0.45622497282556318</v>
      </c>
      <c r="J32" s="16">
        <f>J31/MCFS!L58</f>
        <v>0.46854781818181818</v>
      </c>
      <c r="K32" s="16">
        <f>K31/MCFS!M58</f>
        <v>0.50643565384615385</v>
      </c>
      <c r="L32" s="16">
        <f>L31/MCFS!N58</f>
        <v>0.70331677272727278</v>
      </c>
      <c r="M32" s="16">
        <f>M31/MCFS!O58</f>
        <v>0.77793691516709507</v>
      </c>
    </row>
  </sheetData>
  <phoneticPr fontId="10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N99"/>
  <sheetViews>
    <sheetView topLeftCell="F1" zoomScale="50" workbookViewId="0">
      <selection activeCell="Z3" sqref="Z3"/>
    </sheetView>
  </sheetViews>
  <sheetFormatPr defaultRowHeight="20.25"/>
  <cols>
    <col min="1" max="1" width="92.33203125" style="1" bestFit="1" customWidth="1"/>
    <col min="2" max="2" width="13.44140625" style="1" bestFit="1" customWidth="1"/>
    <col min="3" max="5" width="10.109375" style="1" bestFit="1" customWidth="1"/>
    <col min="6" max="10" width="12.109375" style="1" bestFit="1" customWidth="1"/>
    <col min="11" max="13" width="10.109375" style="1" bestFit="1" customWidth="1"/>
    <col min="14" max="14" width="14.33203125" style="1" bestFit="1" customWidth="1"/>
    <col min="15" max="16384" width="8.88671875" style="1"/>
  </cols>
  <sheetData>
    <row r="1" spans="1:14">
      <c r="A1" s="1" t="s">
        <v>123</v>
      </c>
      <c r="B1" s="31">
        <v>1000000</v>
      </c>
    </row>
    <row r="3" spans="1:14">
      <c r="A3" s="33" t="s">
        <v>338</v>
      </c>
      <c r="B3" s="142">
        <v>40360</v>
      </c>
      <c r="C3" s="142">
        <v>40391</v>
      </c>
      <c r="D3" s="142">
        <v>40422</v>
      </c>
      <c r="E3" s="142">
        <v>40452</v>
      </c>
      <c r="F3" s="142">
        <v>40483</v>
      </c>
      <c r="G3" s="142">
        <v>40513</v>
      </c>
      <c r="H3" s="142">
        <v>40544</v>
      </c>
      <c r="I3" s="142">
        <v>40575</v>
      </c>
      <c r="J3" s="142">
        <v>40603</v>
      </c>
      <c r="K3" s="142">
        <v>40634</v>
      </c>
      <c r="L3" s="142">
        <v>40664</v>
      </c>
      <c r="M3" s="142">
        <v>40695</v>
      </c>
      <c r="N3" s="142" t="s">
        <v>899</v>
      </c>
    </row>
    <row r="4" spans="1:14">
      <c r="A4" s="1" t="s">
        <v>330</v>
      </c>
      <c r="B4" s="166">
        <f>'YR REPORTS'!D33/'TOTAL GRAPHS'!$B$1</f>
        <v>1.1993577591692144</v>
      </c>
      <c r="C4" s="166">
        <f>'YR REPORTS'!E33/'TOTAL GRAPHS'!$B$1</f>
        <v>1.2738409383058575</v>
      </c>
      <c r="D4" s="166">
        <f>'YR REPORTS'!F33/'TOTAL GRAPHS'!$B$1</f>
        <v>0.9108687093007044</v>
      </c>
      <c r="E4" s="166">
        <f>'YR REPORTS'!G33/'TOTAL GRAPHS'!$B$1</f>
        <v>1.9624828884300007</v>
      </c>
      <c r="F4" s="166">
        <f>'YR REPORTS'!H33/'TOTAL GRAPHS'!$B$1</f>
        <v>4.7131236157165466</v>
      </c>
      <c r="G4" s="166">
        <f>'YR REPORTS'!I33/'TOTAL GRAPHS'!$B$1</f>
        <v>13.208730497028951</v>
      </c>
      <c r="H4" s="166">
        <f>'YR REPORTS'!J33/'TOTAL GRAPHS'!$B$1</f>
        <v>12.704318107405065</v>
      </c>
      <c r="I4" s="166">
        <f>'YR REPORTS'!K33/'TOTAL GRAPHS'!$B$1</f>
        <v>7.4731871880369329</v>
      </c>
      <c r="J4" s="166">
        <f>'YR REPORTS'!L33/'TOTAL GRAPHS'!$B$1</f>
        <v>6.555262519003386</v>
      </c>
      <c r="K4" s="166">
        <f>'YR REPORTS'!M33/'TOTAL GRAPHS'!$B$1</f>
        <v>3.5278269913922773</v>
      </c>
      <c r="L4" s="166">
        <f>'YR REPORTS'!N33/'TOTAL GRAPHS'!$B$1</f>
        <v>2.0675899784591953</v>
      </c>
      <c r="M4" s="166">
        <f>'YR REPORTS'!O33/'TOTAL GRAPHS'!$B$1</f>
        <v>1.1642772782298971</v>
      </c>
      <c r="N4" s="166">
        <f>'YR REPORTS'!P33/'TOTAL GRAPHS'!$B$1</f>
        <v>56.760866470478028</v>
      </c>
    </row>
    <row r="5" spans="1:14">
      <c r="A5" s="1" t="s">
        <v>331</v>
      </c>
      <c r="B5" s="166">
        <f>+'YR REPORTS'!D35/$B$1</f>
        <v>1.3007834745289999</v>
      </c>
      <c r="C5" s="166">
        <f>+'YR REPORTS'!E35/$B$1</f>
        <v>1.2953200755400001</v>
      </c>
      <c r="D5" s="166">
        <f>+'YR REPORTS'!F35/$B$1</f>
        <v>1.311370883283</v>
      </c>
      <c r="E5" s="166">
        <f>+'YR REPORTS'!G35/$B$1</f>
        <v>1.4813081206359999</v>
      </c>
      <c r="F5" s="166">
        <f>+'YR REPORTS'!H35/$B$1</f>
        <v>1.464543789847</v>
      </c>
      <c r="G5" s="166">
        <f>+'YR REPORTS'!I35/$B$1</f>
        <v>1.4770290450380001</v>
      </c>
      <c r="H5" s="166">
        <f>+'YR REPORTS'!J35/$B$1</f>
        <v>1.4755950515220002</v>
      </c>
      <c r="I5" s="166">
        <f>+'YR REPORTS'!K35/$B$1</f>
        <v>1.4546270474349996</v>
      </c>
      <c r="J5" s="166">
        <f>+'YR REPORTS'!L35/$B$1</f>
        <v>1.4846070390200001</v>
      </c>
      <c r="K5" s="166">
        <f>+'YR REPORTS'!M35/$B$1</f>
        <v>1.3141767506699999</v>
      </c>
      <c r="L5" s="166">
        <f>+'YR REPORTS'!N35/$B$1</f>
        <v>1.4103320133120001</v>
      </c>
      <c r="M5" s="166">
        <f>+'YR REPORTS'!O35/$B$1</f>
        <v>1.4057787422279999</v>
      </c>
      <c r="N5" s="166">
        <f>+'YR REPORTS'!P35/$B$1</f>
        <v>16.875472033059999</v>
      </c>
    </row>
    <row r="6" spans="1:14">
      <c r="A6" s="1" t="s">
        <v>332</v>
      </c>
      <c r="B6" s="166">
        <f>+'YR REPORTS'!D69/'TOTAL GRAPHS'!$B$1</f>
        <v>1.1779246978010469</v>
      </c>
      <c r="C6" s="166">
        <f>+'YR REPORTS'!E69/'TOTAL GRAPHS'!$B$1</f>
        <v>1.2330016860314137</v>
      </c>
      <c r="D6" s="166">
        <f>+'YR REPORTS'!F69/'TOTAL GRAPHS'!$B$1</f>
        <v>1.0240680712041883</v>
      </c>
      <c r="E6" s="166">
        <f>+'YR REPORTS'!G69/'TOTAL GRAPHS'!$B$1</f>
        <v>1.1835240027923211</v>
      </c>
      <c r="F6" s="166">
        <f>+'YR REPORTS'!H69/'TOTAL GRAPHS'!$B$1</f>
        <v>1.3481576388691101</v>
      </c>
      <c r="G6" s="166">
        <f>+'YR REPORTS'!I69/'TOTAL GRAPHS'!$B$1</f>
        <v>2.0066263747015709</v>
      </c>
      <c r="H6" s="166">
        <f>+'YR REPORTS'!J69/'TOTAL GRAPHS'!$B$1</f>
        <v>2.1115287706806281</v>
      </c>
      <c r="I6" s="166">
        <f>+'YR REPORTS'!K69/'TOTAL GRAPHS'!$B$1</f>
        <v>1.6964196318324609</v>
      </c>
      <c r="J6" s="166">
        <f>+'YR REPORTS'!L69/'TOTAL GRAPHS'!$B$1</f>
        <v>1.4228573488586387</v>
      </c>
      <c r="K6" s="166">
        <f>+'YR REPORTS'!M69/'TOTAL GRAPHS'!$B$1</f>
        <v>1.5761152402094241</v>
      </c>
      <c r="L6" s="166">
        <f>+'YR REPORTS'!N69/'TOTAL GRAPHS'!$B$1</f>
        <v>1.1913526169354276</v>
      </c>
      <c r="M6" s="166">
        <f>+'YR REPORTS'!O69/'TOTAL GRAPHS'!$B$1</f>
        <v>1.080554707155323</v>
      </c>
      <c r="N6" s="166">
        <f>+'YR REPORTS'!P69/'TOTAL GRAPHS'!$B$1</f>
        <v>17.052130787071555</v>
      </c>
    </row>
    <row r="7" spans="1:14">
      <c r="A7" s="1" t="s">
        <v>333</v>
      </c>
      <c r="B7" s="166">
        <f>+'YR REPORTS'!D70/$B$1</f>
        <v>0.15191705</v>
      </c>
      <c r="C7" s="166">
        <f>+'YR REPORTS'!E70/$B$1</f>
        <v>0.14784145000000001</v>
      </c>
      <c r="D7" s="166">
        <f>+'YR REPORTS'!F70/$B$1</f>
        <v>0.12527558999999999</v>
      </c>
      <c r="E7" s="166">
        <f>+'YR REPORTS'!G70/$B$1</f>
        <v>0.153586</v>
      </c>
      <c r="F7" s="166">
        <f>+'YR REPORTS'!H70/$B$1</f>
        <v>0.15768148999999998</v>
      </c>
      <c r="G7" s="166">
        <f>+'YR REPORTS'!I70/$B$1</f>
        <v>0.14046796</v>
      </c>
      <c r="H7" s="166">
        <f>+'YR REPORTS'!J70/$B$1</f>
        <v>0.14930082</v>
      </c>
      <c r="I7" s="166">
        <f>+'YR REPORTS'!K70/$B$1</f>
        <v>0.14912612</v>
      </c>
      <c r="J7" s="166">
        <f>+'YR REPORTS'!L70/$B$1</f>
        <v>0.12885064999999998</v>
      </c>
      <c r="K7" s="166">
        <f>+'YR REPORTS'!M70/$B$1</f>
        <v>0.13167326999999998</v>
      </c>
      <c r="L7" s="166">
        <f>+'YR REPORTS'!N70/$B$1</f>
        <v>0.15472969</v>
      </c>
      <c r="M7" s="166">
        <f>+'YR REPORTS'!O70/$B$1</f>
        <v>0.15130872999999997</v>
      </c>
      <c r="N7" s="166">
        <f>+'YR REPORTS'!P70/$B$1</f>
        <v>1.7417588199999998</v>
      </c>
    </row>
    <row r="35" spans="1:14">
      <c r="A35" s="33" t="s">
        <v>339</v>
      </c>
      <c r="B35" s="142">
        <v>40360</v>
      </c>
      <c r="C35" s="142">
        <v>40391</v>
      </c>
      <c r="D35" s="142">
        <v>40422</v>
      </c>
      <c r="E35" s="142">
        <v>40452</v>
      </c>
      <c r="F35" s="142">
        <v>40483</v>
      </c>
      <c r="G35" s="142">
        <v>40513</v>
      </c>
      <c r="H35" s="142">
        <v>40544</v>
      </c>
      <c r="I35" s="142">
        <v>40575</v>
      </c>
      <c r="J35" s="142">
        <v>40603</v>
      </c>
      <c r="K35" s="142">
        <v>40634</v>
      </c>
      <c r="L35" s="142">
        <v>40664</v>
      </c>
      <c r="M35" s="142">
        <v>40695</v>
      </c>
      <c r="N35" s="142" t="s">
        <v>899</v>
      </c>
    </row>
    <row r="36" spans="1:14">
      <c r="A36" s="1" t="s">
        <v>334</v>
      </c>
      <c r="B36" s="166">
        <f>'YR REPORTS'!D19/$B$1</f>
        <v>2.3772824569702613</v>
      </c>
      <c r="C36" s="166">
        <f>'YR REPORTS'!E19/$B$1</f>
        <v>2.5068426243372715</v>
      </c>
      <c r="D36" s="166">
        <f>'YR REPORTS'!F19/$B$1</f>
        <v>1.9349367805048927</v>
      </c>
      <c r="E36" s="166">
        <f>'YR REPORTS'!G19/$B$1</f>
        <v>3.146006891222322</v>
      </c>
      <c r="F36" s="166">
        <f>'YR REPORTS'!H19/$B$1</f>
        <v>6.0612812545856576</v>
      </c>
      <c r="G36" s="166">
        <f>'YR REPORTS'!I19/$B$1</f>
        <v>15.215356871730521</v>
      </c>
      <c r="H36" s="166">
        <f>'YR REPORTS'!J19/$B$1</f>
        <v>14.815846878085694</v>
      </c>
      <c r="I36" s="166">
        <f>'YR REPORTS'!K19/$B$1</f>
        <v>9.1696068198693936</v>
      </c>
      <c r="J36" s="166">
        <f>'YR REPORTS'!L19/$B$1</f>
        <v>7.9781198678620244</v>
      </c>
      <c r="K36" s="166">
        <f>'YR REPORTS'!M19/$B$1</f>
        <v>5.1039422316017014</v>
      </c>
      <c r="L36" s="166">
        <f>'YR REPORTS'!N19/$B$1</f>
        <v>3.2589425953946232</v>
      </c>
      <c r="M36" s="166">
        <f>'YR REPORTS'!O19/$B$1</f>
        <v>2.2448319853852201</v>
      </c>
      <c r="N36" s="166">
        <f>'YR REPORTS'!P19/$B$1</f>
        <v>73.812997257549583</v>
      </c>
    </row>
    <row r="37" spans="1:14">
      <c r="A37" s="1" t="s">
        <v>324</v>
      </c>
      <c r="B37" s="166">
        <f>+'YR REPORTS'!D20/'TOTAL GRAPHS'!$B$1</f>
        <v>1.597446474529</v>
      </c>
      <c r="C37" s="166">
        <f>+'YR REPORTS'!E20/'TOTAL GRAPHS'!$B$1</f>
        <v>1.5900934955400001</v>
      </c>
      <c r="D37" s="166">
        <f>+'YR REPORTS'!F20/'TOTAL GRAPHS'!$B$1</f>
        <v>1.582543893283</v>
      </c>
      <c r="E37" s="166">
        <f>+'YR REPORTS'!G20/'TOTAL GRAPHS'!$B$1</f>
        <v>1.7833861206359998</v>
      </c>
      <c r="F37" s="166">
        <f>+'YR REPORTS'!H20/'TOTAL GRAPHS'!$B$1</f>
        <v>1.775834419847</v>
      </c>
      <c r="G37" s="166">
        <f>+'YR REPORTS'!I20/'TOTAL GRAPHS'!$B$1</f>
        <v>1.770817935038</v>
      </c>
      <c r="H37" s="166">
        <f>+'YR REPORTS'!J20/'TOTAL GRAPHS'!$B$1</f>
        <v>1.7802713415220002</v>
      </c>
      <c r="I37" s="166">
        <f>+'YR REPORTS'!K20/'TOTAL GRAPHS'!$B$1</f>
        <v>1.7559764374349998</v>
      </c>
      <c r="J37" s="166">
        <f>+'YR REPORTS'!L20/'TOTAL GRAPHS'!$B$1</f>
        <v>1.7709656590199998</v>
      </c>
      <c r="K37" s="166">
        <f>+'YR REPORTS'!M20/'TOTAL GRAPHS'!$B$1</f>
        <v>1.5869352506700001</v>
      </c>
      <c r="L37" s="166">
        <f>+'YR REPORTS'!N20/'TOTAL GRAPHS'!$B$1</f>
        <v>1.716745663312</v>
      </c>
      <c r="M37" s="166">
        <f>+'YR REPORTS'!O20/'TOTAL GRAPHS'!$B$1</f>
        <v>1.7150423722279999</v>
      </c>
      <c r="N37" s="166">
        <f>+'YR REPORTS'!P20/'TOTAL GRAPHS'!$B$1</f>
        <v>20.426059063060002</v>
      </c>
    </row>
    <row r="66" spans="1:14">
      <c r="A66" s="33" t="s">
        <v>335</v>
      </c>
      <c r="B66" s="142">
        <v>40360</v>
      </c>
      <c r="C66" s="142">
        <v>40391</v>
      </c>
      <c r="D66" s="142">
        <v>40422</v>
      </c>
      <c r="E66" s="142">
        <v>40452</v>
      </c>
      <c r="F66" s="142">
        <v>40483</v>
      </c>
      <c r="G66" s="142">
        <v>40513</v>
      </c>
      <c r="H66" s="142">
        <v>40544</v>
      </c>
      <c r="I66" s="142">
        <v>40575</v>
      </c>
      <c r="J66" s="142">
        <v>40603</v>
      </c>
      <c r="K66" s="142">
        <v>40634</v>
      </c>
      <c r="L66" s="142">
        <v>40664</v>
      </c>
      <c r="M66" s="142">
        <v>40695</v>
      </c>
      <c r="N66" s="142" t="s">
        <v>899</v>
      </c>
    </row>
    <row r="67" spans="1:14">
      <c r="A67" s="1" t="s">
        <v>335</v>
      </c>
      <c r="B67" s="166">
        <f>+'YR REPORTS'!D23/'TOTAL GRAPHS'!$B$1</f>
        <v>3.9747289314992615</v>
      </c>
      <c r="C67" s="166">
        <f>+'YR REPORTS'!E23/'TOTAL GRAPHS'!$B$1</f>
        <v>4.0969361198772711</v>
      </c>
      <c r="D67" s="166">
        <f>+'YR REPORTS'!F23/'TOTAL GRAPHS'!$B$1</f>
        <v>3.517480673787893</v>
      </c>
      <c r="E67" s="166">
        <f>+'YR REPORTS'!G23/'TOTAL GRAPHS'!$B$1</f>
        <v>4.9293930118583216</v>
      </c>
      <c r="F67" s="166">
        <f>+'YR REPORTS'!H23/'TOTAL GRAPHS'!$B$1</f>
        <v>7.837115674432658</v>
      </c>
      <c r="G67" s="166">
        <f>+'YR REPORTS'!I23/'TOTAL GRAPHS'!$B$1</f>
        <v>16.986174806768521</v>
      </c>
      <c r="H67" s="166">
        <f>+'YR REPORTS'!J23/'TOTAL GRAPHS'!$B$1</f>
        <v>16.596118219607693</v>
      </c>
      <c r="I67" s="166">
        <f>+'YR REPORTS'!K23/'TOTAL GRAPHS'!$B$1</f>
        <v>10.925583257304393</v>
      </c>
      <c r="J67" s="166">
        <f>+'YR REPORTS'!L23/'TOTAL GRAPHS'!$B$1</f>
        <v>9.7490855268820251</v>
      </c>
      <c r="K67" s="166">
        <f>+'YR REPORTS'!M23/'TOTAL GRAPHS'!$B$1</f>
        <v>5.6618412090871812</v>
      </c>
      <c r="L67" s="166">
        <f>+'YR REPORTS'!N23/'TOTAL GRAPHS'!$B$1</f>
        <v>4.4429467294363807</v>
      </c>
      <c r="M67" s="166">
        <f>+'YR REPORTS'!O23/'TOTAL GRAPHS'!$B$1</f>
        <v>3.8743952389474297</v>
      </c>
      <c r="N67" s="166">
        <f>+'YR REPORTS'!P23/'TOTAL GRAPHS'!$B$1</f>
        <v>92.591799399489034</v>
      </c>
    </row>
    <row r="97" spans="1:14">
      <c r="A97" s="33" t="s">
        <v>327</v>
      </c>
      <c r="B97" s="142">
        <v>40360</v>
      </c>
      <c r="C97" s="142">
        <v>40391</v>
      </c>
      <c r="D97" s="142">
        <v>40422</v>
      </c>
      <c r="E97" s="142">
        <v>40452</v>
      </c>
      <c r="F97" s="142">
        <v>40483</v>
      </c>
      <c r="G97" s="142">
        <v>40513</v>
      </c>
      <c r="H97" s="142">
        <v>40544</v>
      </c>
      <c r="I97" s="142">
        <v>40575</v>
      </c>
      <c r="J97" s="142">
        <v>40603</v>
      </c>
      <c r="K97" s="142">
        <v>40634</v>
      </c>
      <c r="L97" s="142">
        <v>40664</v>
      </c>
      <c r="M97" s="142">
        <v>40695</v>
      </c>
      <c r="N97" s="142" t="s">
        <v>899</v>
      </c>
    </row>
    <row r="98" spans="1:14">
      <c r="A98" s="1" t="s">
        <v>158</v>
      </c>
      <c r="B98" s="22">
        <f>+'YR REPORTS'!D10</f>
        <v>238580.8</v>
      </c>
      <c r="C98" s="31">
        <f>+'YR REPORTS'!E10</f>
        <v>254773.5</v>
      </c>
      <c r="D98" s="31">
        <f>+'YR REPORTS'!F10</f>
        <v>279880</v>
      </c>
      <c r="E98" s="31">
        <f>+'YR REPORTS'!G10</f>
        <v>504923</v>
      </c>
      <c r="F98" s="31">
        <f>+'YR REPORTS'!H10</f>
        <v>1182529.3</v>
      </c>
      <c r="G98" s="31">
        <f>+'YR REPORTS'!I10</f>
        <v>2571218.2000000002</v>
      </c>
      <c r="H98" s="31">
        <f>+'YR REPORTS'!J10</f>
        <v>2556244</v>
      </c>
      <c r="I98" s="31">
        <f>+'YR REPORTS'!K10</f>
        <v>1644464.4000000001</v>
      </c>
      <c r="J98" s="31">
        <f>+'YR REPORTS'!L10</f>
        <v>1338733.7999999998</v>
      </c>
      <c r="K98" s="31">
        <f>+'YR REPORTS'!M10</f>
        <v>635148.20000000007</v>
      </c>
      <c r="L98" s="31">
        <f>+'YR REPORTS'!N10</f>
        <v>360199.8</v>
      </c>
      <c r="M98" s="31">
        <f>+'YR REPORTS'!O10</f>
        <v>278060.90000000002</v>
      </c>
      <c r="N98" s="22">
        <f>+'YR REPORTS'!P10</f>
        <v>11844755.9</v>
      </c>
    </row>
    <row r="99" spans="1:14">
      <c r="A99" s="1" t="s">
        <v>319</v>
      </c>
      <c r="B99" s="22">
        <f>+'YR REPORTS'!D11</f>
        <v>221336</v>
      </c>
      <c r="C99" s="22">
        <f>+'YR REPORTS'!E11</f>
        <v>228946.3</v>
      </c>
      <c r="D99" s="22">
        <f>+'YR REPORTS'!F11</f>
        <v>247884</v>
      </c>
      <c r="E99" s="22">
        <f>+'YR REPORTS'!G11</f>
        <v>272765</v>
      </c>
      <c r="F99" s="22">
        <f>+'YR REPORTS'!H11</f>
        <v>329173.8</v>
      </c>
      <c r="G99" s="22">
        <f>+'YR REPORTS'!I11</f>
        <v>419536.6</v>
      </c>
      <c r="H99" s="22">
        <f>+'YR REPORTS'!J11</f>
        <v>444747</v>
      </c>
      <c r="I99" s="22">
        <f>+'YR REPORTS'!K11</f>
        <v>352434.3</v>
      </c>
      <c r="J99" s="22">
        <f>+'YR REPORTS'!L11</f>
        <v>319091.19999999995</v>
      </c>
      <c r="K99" s="22">
        <f>+'YR REPORTS'!M11</f>
        <v>329104</v>
      </c>
      <c r="L99" s="22">
        <f>+'YR REPORTS'!N11</f>
        <v>241060.59999999998</v>
      </c>
      <c r="M99" s="22">
        <f>+'YR REPORTS'!O11</f>
        <v>221191</v>
      </c>
      <c r="N99" s="22">
        <f>+'YR REPORTS'!P11</f>
        <v>3627269.8000000003</v>
      </c>
    </row>
  </sheetData>
  <phoneticPr fontId="10" type="noConversion"/>
  <pageMargins left="0.75" right="0.75" top="1" bottom="1" header="0.5" footer="0.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N48"/>
  <sheetViews>
    <sheetView zoomScale="60" zoomScaleNormal="60" workbookViewId="0">
      <pane xSplit="1" ySplit="2" topLeftCell="E3" activePane="bottomRight" state="frozen"/>
      <selection activeCell="I74" sqref="I74"/>
      <selection pane="topRight" activeCell="I74" sqref="I74"/>
      <selection pane="bottomLeft" activeCell="I74" sqref="I74"/>
      <selection pane="bottomRight" activeCell="M17" sqref="M17"/>
    </sheetView>
  </sheetViews>
  <sheetFormatPr defaultRowHeight="20.25"/>
  <cols>
    <col min="1" max="1" width="67.5546875" style="10" bestFit="1" customWidth="1"/>
    <col min="2" max="4" width="11" style="10" bestFit="1" customWidth="1"/>
    <col min="5" max="5" width="11" style="10" customWidth="1"/>
    <col min="6" max="6" width="13.21875" style="10" bestFit="1" customWidth="1"/>
    <col min="7" max="10" width="15.44140625" style="10" bestFit="1" customWidth="1"/>
    <col min="11" max="13" width="11" style="10" customWidth="1"/>
    <col min="14" max="14" width="13.21875" style="10" bestFit="1" customWidth="1"/>
    <col min="15" max="16384" width="8.88671875" style="10"/>
  </cols>
  <sheetData>
    <row r="1" spans="1:14">
      <c r="A1" s="10" t="s">
        <v>85</v>
      </c>
      <c r="B1" s="10">
        <v>31</v>
      </c>
      <c r="C1" s="10">
        <v>31</v>
      </c>
      <c r="D1" s="10">
        <v>30</v>
      </c>
      <c r="E1" s="10">
        <v>31</v>
      </c>
      <c r="F1" s="10">
        <v>30</v>
      </c>
      <c r="G1" s="10">
        <v>31</v>
      </c>
      <c r="H1" s="10">
        <v>31</v>
      </c>
      <c r="I1" s="10">
        <v>28</v>
      </c>
      <c r="J1" s="10">
        <v>31</v>
      </c>
      <c r="K1" s="10">
        <v>30</v>
      </c>
      <c r="L1" s="10">
        <v>31</v>
      </c>
      <c r="M1" s="10">
        <v>30</v>
      </c>
    </row>
    <row r="2" spans="1:14" s="46" customFormat="1">
      <c r="A2" s="2" t="s">
        <v>67</v>
      </c>
      <c r="B2" s="14">
        <v>40360</v>
      </c>
      <c r="C2" s="14">
        <v>40391</v>
      </c>
      <c r="D2" s="14">
        <v>40422</v>
      </c>
      <c r="E2" s="14">
        <v>40452</v>
      </c>
      <c r="F2" s="14">
        <v>40483</v>
      </c>
      <c r="G2" s="14">
        <v>40513</v>
      </c>
      <c r="H2" s="14">
        <v>40544</v>
      </c>
      <c r="I2" s="14">
        <v>40575</v>
      </c>
      <c r="J2" s="14">
        <v>40603</v>
      </c>
      <c r="K2" s="14">
        <v>40634</v>
      </c>
      <c r="L2" s="14">
        <v>40664</v>
      </c>
      <c r="M2" s="14">
        <v>40695</v>
      </c>
      <c r="N2" s="142" t="s">
        <v>900</v>
      </c>
    </row>
    <row r="3" spans="1:14" s="46" customFormat="1">
      <c r="A3" s="4" t="s">
        <v>926</v>
      </c>
      <c r="B3" s="14"/>
      <c r="C3" s="14"/>
      <c r="D3" s="14"/>
      <c r="E3" s="14"/>
      <c r="F3" s="132">
        <v>4858</v>
      </c>
      <c r="G3" s="132">
        <v>5832.1</v>
      </c>
      <c r="H3" s="132">
        <f>59898/10</f>
        <v>5989.8</v>
      </c>
      <c r="I3" s="439">
        <v>5484.8</v>
      </c>
      <c r="J3" s="439">
        <v>6132.9</v>
      </c>
      <c r="K3" s="14"/>
      <c r="L3" s="131"/>
      <c r="M3" s="14"/>
      <c r="N3" s="142"/>
    </row>
    <row r="4" spans="1:14" s="46" customFormat="1">
      <c r="A4" s="4" t="s">
        <v>927</v>
      </c>
      <c r="B4" s="14"/>
      <c r="C4" s="14"/>
      <c r="D4" s="14"/>
      <c r="E4" s="14"/>
      <c r="F4" s="132">
        <f>1506.1+2816.1</f>
        <v>4322.2</v>
      </c>
      <c r="G4" s="132">
        <f>1627.1+3375.8</f>
        <v>5002.8999999999996</v>
      </c>
      <c r="H4" s="132">
        <f>3229.3+1718.4</f>
        <v>4947.7000000000007</v>
      </c>
      <c r="I4" s="132">
        <f>1479.4+2936.5</f>
        <v>4415.8999999999996</v>
      </c>
      <c r="J4" s="439">
        <f>1683.2+3209.8</f>
        <v>4893</v>
      </c>
      <c r="K4" s="14"/>
      <c r="L4" s="131"/>
      <c r="M4" s="14"/>
      <c r="N4" s="142"/>
    </row>
    <row r="5" spans="1:14" s="46" customFormat="1">
      <c r="A5" s="4" t="s">
        <v>928</v>
      </c>
      <c r="B5" s="14"/>
      <c r="C5" s="14"/>
      <c r="D5" s="14"/>
      <c r="E5" s="14"/>
      <c r="F5" s="132">
        <v>8989.2000000000007</v>
      </c>
      <c r="G5" s="132">
        <v>11089.5</v>
      </c>
      <c r="H5" s="195">
        <v>9369</v>
      </c>
      <c r="I5" s="195">
        <v>8497</v>
      </c>
      <c r="J5" s="195">
        <v>8246</v>
      </c>
      <c r="K5" s="14"/>
      <c r="L5" s="131"/>
      <c r="M5" s="14"/>
      <c r="N5" s="142"/>
    </row>
    <row r="6" spans="1:14" s="46" customFormat="1">
      <c r="A6" s="4" t="s">
        <v>929</v>
      </c>
      <c r="B6" s="14"/>
      <c r="C6" s="14"/>
      <c r="D6" s="14"/>
      <c r="E6" s="14"/>
      <c r="F6" s="132">
        <v>6168</v>
      </c>
      <c r="G6" s="132">
        <f>10468.2</f>
        <v>10468.200000000001</v>
      </c>
      <c r="H6" s="132">
        <v>9168.2999999999993</v>
      </c>
      <c r="I6" s="439">
        <f>7585.5</f>
        <v>7585.5</v>
      </c>
      <c r="J6" s="439">
        <f>8168.9</f>
        <v>8168.9</v>
      </c>
      <c r="K6" s="14"/>
      <c r="L6" s="131"/>
      <c r="M6" s="14"/>
      <c r="N6" s="142"/>
    </row>
    <row r="7" spans="1:14" s="46" customFormat="1">
      <c r="A7" s="4" t="s">
        <v>930</v>
      </c>
      <c r="B7" s="14"/>
      <c r="C7" s="14"/>
      <c r="D7" s="14"/>
      <c r="E7" s="14"/>
      <c r="F7" s="132">
        <v>4383</v>
      </c>
      <c r="G7" s="132">
        <f>5587.2</f>
        <v>5587.2</v>
      </c>
      <c r="H7" s="132">
        <v>4904.7</v>
      </c>
      <c r="I7" s="132">
        <f>4218.6</f>
        <v>4218.6000000000004</v>
      </c>
      <c r="J7" s="439">
        <f>4773</f>
        <v>4773</v>
      </c>
      <c r="K7" s="14"/>
      <c r="L7" s="131"/>
      <c r="M7" s="14"/>
      <c r="N7" s="142"/>
    </row>
    <row r="8" spans="1:14" s="46" customFormat="1">
      <c r="A8" s="4" t="s">
        <v>931</v>
      </c>
      <c r="B8" s="14"/>
      <c r="C8" s="14"/>
      <c r="D8" s="14"/>
      <c r="E8" s="14"/>
      <c r="F8" s="132">
        <v>2305</v>
      </c>
      <c r="G8" s="132">
        <v>3322.8</v>
      </c>
      <c r="H8" s="195">
        <v>2756</v>
      </c>
      <c r="I8" s="195">
        <v>2552</v>
      </c>
      <c r="J8" s="195">
        <v>2475</v>
      </c>
      <c r="K8" s="14"/>
      <c r="L8" s="131"/>
      <c r="M8" s="14"/>
      <c r="N8" s="142"/>
    </row>
    <row r="9" spans="1:14" s="46" customFormat="1">
      <c r="A9" s="4" t="s">
        <v>932</v>
      </c>
      <c r="B9" s="14"/>
      <c r="C9" s="14"/>
      <c r="D9" s="14"/>
      <c r="E9" s="14"/>
      <c r="F9" s="132">
        <f>771+955.4</f>
        <v>1726.4</v>
      </c>
      <c r="G9" s="132">
        <f>1474.8+1271.3</f>
        <v>2746.1</v>
      </c>
      <c r="H9" s="132">
        <f>871.3+1254.5</f>
        <v>2125.8000000000002</v>
      </c>
      <c r="I9" s="132">
        <f>1068.6+1048.1</f>
        <v>2116.6999999999998</v>
      </c>
      <c r="J9" s="439">
        <f>1159.4+908.5</f>
        <v>2067.9</v>
      </c>
      <c r="K9" s="14"/>
      <c r="L9" s="131"/>
      <c r="M9" s="14"/>
      <c r="N9" s="142"/>
    </row>
    <row r="10" spans="1:14" s="46" customFormat="1">
      <c r="A10" s="4" t="s">
        <v>933</v>
      </c>
      <c r="B10" s="14"/>
      <c r="C10" s="14"/>
      <c r="D10" s="14"/>
      <c r="E10" s="14"/>
      <c r="F10" s="132">
        <v>1602.6</v>
      </c>
      <c r="G10" s="132">
        <v>2084</v>
      </c>
      <c r="H10" s="132">
        <v>1818.9</v>
      </c>
      <c r="I10" s="132">
        <f>1502.8</f>
        <v>1502.8</v>
      </c>
      <c r="J10" s="439">
        <f>1515.7</f>
        <v>1515.7</v>
      </c>
      <c r="K10" s="14"/>
      <c r="L10" s="131"/>
      <c r="M10" s="14"/>
      <c r="N10" s="142"/>
    </row>
    <row r="11" spans="1:14" s="46" customFormat="1">
      <c r="A11" s="4" t="s">
        <v>934</v>
      </c>
      <c r="B11" s="14"/>
      <c r="C11" s="14"/>
      <c r="D11" s="14"/>
      <c r="E11" s="14"/>
      <c r="F11" s="132">
        <f>4826.3+16448.1</f>
        <v>21274.399999999998</v>
      </c>
      <c r="G11" s="132">
        <f>12829.9+20536.1</f>
        <v>33366</v>
      </c>
      <c r="H11" s="132">
        <f>10331.7+16806.1</f>
        <v>27137.8</v>
      </c>
      <c r="I11" s="132">
        <f>9492.6+13838.9</f>
        <v>23331.5</v>
      </c>
      <c r="J11" s="439">
        <f>10133.7+13654.4</f>
        <v>23788.1</v>
      </c>
      <c r="K11" s="14"/>
      <c r="L11" s="28">
        <f>(64080+100648+12011)/10</f>
        <v>17673.900000000001</v>
      </c>
      <c r="M11" s="28">
        <f>(59821+106465+11448)/10</f>
        <v>17773.400000000001</v>
      </c>
      <c r="N11" s="142"/>
    </row>
    <row r="12" spans="1:14" s="46" customFormat="1">
      <c r="A12" s="4" t="s">
        <v>935</v>
      </c>
      <c r="B12" s="14"/>
      <c r="C12" s="14"/>
      <c r="D12" s="14"/>
      <c r="E12" s="14"/>
      <c r="F12" s="132">
        <v>10991</v>
      </c>
      <c r="G12" s="132">
        <v>12877.8</v>
      </c>
      <c r="H12" s="195">
        <v>8984</v>
      </c>
      <c r="I12" s="195">
        <v>9242</v>
      </c>
      <c r="J12" s="195">
        <v>9121</v>
      </c>
      <c r="K12" s="14"/>
      <c r="L12" s="131"/>
      <c r="M12" s="14"/>
      <c r="N12" s="142"/>
    </row>
    <row r="13" spans="1:14" s="46" customFormat="1">
      <c r="A13" s="4" t="s">
        <v>936</v>
      </c>
      <c r="B13" s="14"/>
      <c r="C13" s="14"/>
      <c r="D13" s="14"/>
      <c r="E13" s="14"/>
      <c r="F13" s="132">
        <v>2096.3000000000002</v>
      </c>
      <c r="G13" s="132">
        <v>3294.6</v>
      </c>
      <c r="H13" s="195">
        <v>2527</v>
      </c>
      <c r="I13" s="195">
        <v>2596</v>
      </c>
      <c r="J13" s="195">
        <v>1956</v>
      </c>
      <c r="K13" s="14"/>
      <c r="L13" s="131"/>
      <c r="M13" s="14"/>
      <c r="N13" s="142"/>
    </row>
    <row r="14" spans="1:14" s="46" customFormat="1">
      <c r="A14" s="4" t="s">
        <v>937</v>
      </c>
      <c r="B14" s="14"/>
      <c r="C14" s="14"/>
      <c r="D14" s="14"/>
      <c r="E14" s="14"/>
      <c r="F14" s="132">
        <v>16511.099999999999</v>
      </c>
      <c r="G14" s="132">
        <v>26767</v>
      </c>
      <c r="H14" s="195">
        <v>32010</v>
      </c>
      <c r="I14" s="195">
        <v>30950</v>
      </c>
      <c r="J14" s="195">
        <v>22948</v>
      </c>
      <c r="K14" s="14"/>
      <c r="L14" s="131"/>
      <c r="M14" s="14"/>
      <c r="N14" s="142"/>
    </row>
    <row r="15" spans="1:14" s="46" customFormat="1">
      <c r="A15" s="4" t="s">
        <v>938</v>
      </c>
      <c r="B15" s="14"/>
      <c r="C15" s="14"/>
      <c r="D15" s="14"/>
      <c r="E15" s="14"/>
      <c r="F15" s="132">
        <v>3560.7</v>
      </c>
      <c r="G15" s="132">
        <v>3564.1</v>
      </c>
      <c r="H15" s="195">
        <v>3000</v>
      </c>
      <c r="I15" s="195">
        <v>2800</v>
      </c>
      <c r="J15" s="195">
        <v>2500</v>
      </c>
      <c r="K15" s="14"/>
      <c r="L15" s="131"/>
      <c r="M15" s="14"/>
      <c r="N15" s="142"/>
    </row>
    <row r="16" spans="1:14" s="46" customFormat="1">
      <c r="A16" s="4" t="s">
        <v>939</v>
      </c>
      <c r="B16" s="14"/>
      <c r="C16" s="14"/>
      <c r="D16" s="14"/>
      <c r="E16" s="14"/>
      <c r="F16" s="132">
        <v>15407</v>
      </c>
      <c r="G16" s="132">
        <v>24459</v>
      </c>
      <c r="H16" s="132">
        <v>17914</v>
      </c>
      <c r="I16" s="132">
        <v>16691</v>
      </c>
      <c r="J16" s="195">
        <v>17588</v>
      </c>
      <c r="K16" s="14"/>
      <c r="L16" s="28">
        <f>95080/10</f>
        <v>9508</v>
      </c>
      <c r="M16" s="28">
        <f>95590/10</f>
        <v>9559</v>
      </c>
      <c r="N16" s="142"/>
    </row>
    <row r="17" spans="1:14" s="46" customFormat="1">
      <c r="A17" s="2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2"/>
    </row>
    <row r="18" spans="1:14" s="46" customFormat="1">
      <c r="A18" s="2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2"/>
    </row>
    <row r="19" spans="1:14" s="46" customFormat="1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2"/>
    </row>
    <row r="20" spans="1:14" s="46" customFormat="1">
      <c r="A20" s="2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2"/>
    </row>
    <row r="21" spans="1:14" s="22" customFormat="1">
      <c r="A21" s="3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</row>
    <row r="22" spans="1:14" s="22" customFormat="1">
      <c r="A22" s="3" t="s">
        <v>281</v>
      </c>
      <c r="B22" s="28"/>
      <c r="C22" s="28"/>
      <c r="D22" s="28"/>
      <c r="E22" s="28"/>
      <c r="F22" s="28">
        <f>SUM(F3:F16)</f>
        <v>104194.90000000001</v>
      </c>
      <c r="G22" s="28">
        <f>SUM(G3:G16)</f>
        <v>150461.30000000002</v>
      </c>
      <c r="H22" s="28">
        <f>SUM(H3:H16)</f>
        <v>132653</v>
      </c>
      <c r="I22" s="28">
        <f>SUM(I3:I16)</f>
        <v>121983.8</v>
      </c>
      <c r="J22" s="28">
        <f>SUM(J3:J16)</f>
        <v>116173.5</v>
      </c>
      <c r="K22" s="28"/>
      <c r="L22" s="28"/>
      <c r="M22" s="28"/>
      <c r="N22" s="28">
        <f>SUM(F22:J22)</f>
        <v>625466.5</v>
      </c>
    </row>
    <row r="23" spans="1:14">
      <c r="A23" s="2" t="s">
        <v>282</v>
      </c>
      <c r="B23" s="28"/>
      <c r="C23" s="28"/>
      <c r="D23" s="28"/>
      <c r="E23" s="28"/>
      <c r="F23" s="28">
        <f>F22/F1</f>
        <v>3473.1633333333334</v>
      </c>
      <c r="G23" s="28">
        <f>G22/G1</f>
        <v>4853.590322580646</v>
      </c>
      <c r="H23" s="28">
        <f>H22/H1</f>
        <v>4279.1290322580644</v>
      </c>
      <c r="I23" s="28">
        <f>I22/I1</f>
        <v>4356.5642857142857</v>
      </c>
      <c r="J23" s="28">
        <f>J22/J1</f>
        <v>3747.5322580645161</v>
      </c>
      <c r="K23" s="28"/>
      <c r="L23" s="28"/>
      <c r="M23" s="28"/>
      <c r="N23" s="22">
        <f>N22/151</f>
        <v>4142.162251655629</v>
      </c>
    </row>
    <row r="25" spans="1:14" s="22" customFormat="1">
      <c r="A25" s="111" t="s">
        <v>751</v>
      </c>
      <c r="B25" s="28"/>
      <c r="C25" s="28"/>
      <c r="D25" s="28"/>
      <c r="E25" s="28"/>
      <c r="F25" s="195">
        <v>135000</v>
      </c>
      <c r="G25" s="195">
        <v>170500</v>
      </c>
      <c r="H25" s="195">
        <v>170500</v>
      </c>
      <c r="I25" s="195">
        <v>154000</v>
      </c>
      <c r="J25" s="195">
        <v>139500</v>
      </c>
      <c r="K25" s="28"/>
      <c r="L25" s="28"/>
      <c r="M25" s="28"/>
      <c r="N25" s="22">
        <f>SUM(F25:J25)</f>
        <v>769500</v>
      </c>
    </row>
    <row r="26" spans="1:14">
      <c r="A26" s="4" t="s">
        <v>921</v>
      </c>
      <c r="B26" s="22">
        <f t="shared" ref="B26:D27" si="0">B25*0.95</f>
        <v>0</v>
      </c>
      <c r="C26" s="22">
        <f t="shared" si="0"/>
        <v>0</v>
      </c>
      <c r="D26" s="22">
        <f t="shared" si="0"/>
        <v>0</v>
      </c>
      <c r="E26" s="22">
        <f>E25*0.95</f>
        <v>0</v>
      </c>
      <c r="F26" s="22">
        <f>F25*0.96</f>
        <v>129600</v>
      </c>
      <c r="G26" s="22">
        <f>G25*0.96</f>
        <v>163680</v>
      </c>
      <c r="H26" s="22">
        <f>H25*0.96</f>
        <v>163680</v>
      </c>
      <c r="I26" s="22">
        <f>I25*0.96</f>
        <v>147840</v>
      </c>
      <c r="J26" s="22">
        <f>J25*0.96</f>
        <v>133920</v>
      </c>
      <c r="K26" s="22"/>
      <c r="L26" s="22"/>
      <c r="M26" s="22"/>
    </row>
    <row r="27" spans="1:14">
      <c r="A27" s="4" t="s">
        <v>807</v>
      </c>
      <c r="B27" s="22">
        <f t="shared" si="0"/>
        <v>0</v>
      </c>
      <c r="C27" s="22">
        <f t="shared" si="0"/>
        <v>0</v>
      </c>
      <c r="D27" s="22">
        <f t="shared" si="0"/>
        <v>0</v>
      </c>
      <c r="E27" s="22">
        <f>E26*0.95</f>
        <v>0</v>
      </c>
      <c r="F27" s="22">
        <f>F26*0.975</f>
        <v>126360</v>
      </c>
      <c r="G27" s="22">
        <f>G26*0.975</f>
        <v>159588</v>
      </c>
      <c r="H27" s="22">
        <f>H26*0.975</f>
        <v>159588</v>
      </c>
      <c r="I27" s="22">
        <f>I26*0.975</f>
        <v>144144</v>
      </c>
      <c r="J27" s="22">
        <f>J26*0.975</f>
        <v>130572</v>
      </c>
      <c r="K27" s="22"/>
      <c r="L27" s="22"/>
      <c r="M27" s="22"/>
    </row>
    <row r="28" spans="1:14">
      <c r="A28" s="4" t="s">
        <v>752</v>
      </c>
      <c r="B28" s="22">
        <f t="shared" ref="B28:J28" si="1">B27/1.04</f>
        <v>0</v>
      </c>
      <c r="C28" s="22">
        <f t="shared" si="1"/>
        <v>0</v>
      </c>
      <c r="D28" s="22">
        <f t="shared" si="1"/>
        <v>0</v>
      </c>
      <c r="E28" s="22">
        <f t="shared" si="1"/>
        <v>0</v>
      </c>
      <c r="F28" s="22">
        <f t="shared" si="1"/>
        <v>121500</v>
      </c>
      <c r="G28" s="22">
        <f t="shared" si="1"/>
        <v>153450</v>
      </c>
      <c r="H28" s="22">
        <f t="shared" si="1"/>
        <v>153450</v>
      </c>
      <c r="I28" s="22">
        <f t="shared" si="1"/>
        <v>138600</v>
      </c>
      <c r="J28" s="22">
        <f t="shared" si="1"/>
        <v>125550</v>
      </c>
      <c r="K28" s="22"/>
      <c r="L28" s="22"/>
      <c r="M28" s="22"/>
      <c r="N28" s="22">
        <f>SUM(B28:J28)</f>
        <v>692550</v>
      </c>
    </row>
    <row r="29" spans="1:14" s="108" customFormat="1">
      <c r="A29" s="119" t="s">
        <v>753</v>
      </c>
      <c r="F29" s="108">
        <f>F28-F22</f>
        <v>17305.099999999991</v>
      </c>
      <c r="G29" s="108">
        <f>G28-G22</f>
        <v>2988.6999999999825</v>
      </c>
      <c r="H29" s="108">
        <f>H28-H22</f>
        <v>20797</v>
      </c>
      <c r="I29" s="108">
        <f>I28-I22</f>
        <v>16616.199999999997</v>
      </c>
      <c r="J29" s="108">
        <f>J28-J22</f>
        <v>9376.5</v>
      </c>
    </row>
    <row r="30" spans="1:14">
      <c r="A30" s="4" t="s">
        <v>283</v>
      </c>
      <c r="B30" s="17"/>
      <c r="C30" s="17"/>
      <c r="D30" s="17"/>
      <c r="E30" s="17"/>
      <c r="F30" s="17">
        <v>4.72</v>
      </c>
      <c r="G30" s="17">
        <v>4.72</v>
      </c>
      <c r="H30" s="17">
        <v>4.72</v>
      </c>
      <c r="I30" s="17">
        <v>4.72</v>
      </c>
      <c r="J30" s="17">
        <v>4.72</v>
      </c>
      <c r="K30" s="17"/>
      <c r="L30" s="17"/>
      <c r="M30" s="17"/>
    </row>
    <row r="31" spans="1:14">
      <c r="A31" s="4" t="s">
        <v>284</v>
      </c>
      <c r="B31" s="17"/>
      <c r="C31" s="17"/>
      <c r="D31" s="17"/>
      <c r="E31" s="17"/>
      <c r="F31" s="17">
        <f>+'YR REPORTS'!H67</f>
        <v>3.730261780104712</v>
      </c>
      <c r="G31" s="17">
        <f>+'YR REPORTS'!I67</f>
        <v>4.8192670157068074</v>
      </c>
      <c r="H31" s="17">
        <f>+'YR REPORTS'!J67</f>
        <v>4.7623036649214656</v>
      </c>
      <c r="I31" s="17">
        <f>+'YR REPORTS'!K67</f>
        <v>4.8739965095986042</v>
      </c>
      <c r="J31" s="17">
        <f>+'YR REPORTS'!L67</f>
        <v>4.2898429319371729</v>
      </c>
      <c r="K31" s="17"/>
      <c r="L31" s="17"/>
      <c r="M31" s="17"/>
    </row>
    <row r="32" spans="1:14">
      <c r="A32" s="4" t="s">
        <v>285</v>
      </c>
      <c r="B32" s="29"/>
      <c r="C32" s="29"/>
      <c r="D32" s="29"/>
      <c r="E32" s="29"/>
      <c r="F32" s="29">
        <f>F31-F30</f>
        <v>-0.98973821989528776</v>
      </c>
      <c r="G32" s="29">
        <f>G31-G30</f>
        <v>9.9267015706807626E-2</v>
      </c>
      <c r="H32" s="29">
        <f>H31-H30</f>
        <v>4.2303664921465867E-2</v>
      </c>
      <c r="I32" s="29">
        <f>I31-I30</f>
        <v>0.15399650959860445</v>
      </c>
      <c r="J32" s="29">
        <f>J31-J30</f>
        <v>-0.43015706806282683</v>
      </c>
      <c r="K32" s="29"/>
      <c r="L32" s="29"/>
      <c r="M32" s="29"/>
    </row>
    <row r="33" spans="1:14" s="30" customFormat="1">
      <c r="A33" s="121" t="s">
        <v>286</v>
      </c>
      <c r="F33" s="30">
        <f>F29*F32</f>
        <v>-17127.518869109936</v>
      </c>
      <c r="G33" s="30">
        <f>G29*G32</f>
        <v>296.67932984293424</v>
      </c>
      <c r="H33" s="30">
        <f>H29*H32</f>
        <v>879.78931937172558</v>
      </c>
      <c r="I33" s="30">
        <f>I29*I32</f>
        <v>2558.8368027923307</v>
      </c>
      <c r="J33" s="30">
        <f>J29*J32</f>
        <v>-4033.3677486910956</v>
      </c>
      <c r="N33" s="30">
        <f>SUM(B33:J33)</f>
        <v>-17425.581165794043</v>
      </c>
    </row>
    <row r="34" spans="1:14">
      <c r="A34" s="4" t="s">
        <v>305</v>
      </c>
      <c r="B34" s="30">
        <f>B33</f>
        <v>0</v>
      </c>
      <c r="C34" s="30">
        <f t="shared" ref="C34:J34" si="2">C33+B34</f>
        <v>0</v>
      </c>
      <c r="D34" s="30">
        <f t="shared" si="2"/>
        <v>0</v>
      </c>
      <c r="E34" s="30">
        <f t="shared" si="2"/>
        <v>0</v>
      </c>
      <c r="F34" s="30">
        <f t="shared" si="2"/>
        <v>-17127.518869109936</v>
      </c>
      <c r="G34" s="30">
        <f t="shared" si="2"/>
        <v>-16830.839539267003</v>
      </c>
      <c r="H34" s="30">
        <f t="shared" si="2"/>
        <v>-15951.050219895276</v>
      </c>
      <c r="I34" s="30">
        <f t="shared" si="2"/>
        <v>-13392.213417102947</v>
      </c>
      <c r="J34" s="30">
        <f t="shared" si="2"/>
        <v>-17425.581165794043</v>
      </c>
    </row>
    <row r="36" spans="1:14">
      <c r="A36" s="4" t="s">
        <v>813</v>
      </c>
    </row>
    <row r="37" spans="1:14">
      <c r="A37" s="4" t="s">
        <v>814</v>
      </c>
    </row>
    <row r="38" spans="1:14">
      <c r="A38" s="4" t="s">
        <v>815</v>
      </c>
    </row>
    <row r="41" spans="1:14">
      <c r="A41" s="33"/>
    </row>
    <row r="42" spans="1:14">
      <c r="A42" s="33"/>
    </row>
    <row r="43" spans="1:14">
      <c r="A43" s="33"/>
      <c r="E43" s="375"/>
    </row>
    <row r="44" spans="1:14">
      <c r="A44" s="33"/>
      <c r="E44" s="376"/>
    </row>
    <row r="45" spans="1:14">
      <c r="A45" s="33"/>
    </row>
    <row r="46" spans="1:14">
      <c r="A46" s="33"/>
    </row>
    <row r="47" spans="1:14">
      <c r="A47" s="33"/>
    </row>
    <row r="48" spans="1:14">
      <c r="A48" s="33"/>
    </row>
  </sheetData>
  <phoneticPr fontId="0" type="noConversion"/>
  <pageMargins left="0.75" right="0.75" top="1" bottom="1" header="0.5" footer="0.5"/>
  <pageSetup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AV200"/>
  <sheetViews>
    <sheetView topLeftCell="C70" zoomScale="50" workbookViewId="0">
      <selection activeCell="P101" sqref="P101"/>
    </sheetView>
  </sheetViews>
  <sheetFormatPr defaultRowHeight="20.25"/>
  <cols>
    <col min="1" max="1" width="12.109375" style="10" bestFit="1" customWidth="1"/>
    <col min="2" max="2" width="16.21875" style="10" bestFit="1" customWidth="1"/>
    <col min="3" max="3" width="45" style="10" bestFit="1" customWidth="1"/>
    <col min="4" max="4" width="15.21875" style="10" customWidth="1"/>
    <col min="5" max="5" width="16.5546875" style="10" customWidth="1"/>
    <col min="6" max="7" width="13.88671875" style="10" customWidth="1"/>
    <col min="8" max="8" width="17.21875" style="10" customWidth="1"/>
    <col min="9" max="9" width="13.88671875" style="257" customWidth="1"/>
    <col min="10" max="13" width="15.44140625" style="257" customWidth="1"/>
    <col min="14" max="15" width="15.44140625" style="10" customWidth="1"/>
    <col min="16" max="16" width="17" style="10" bestFit="1" customWidth="1"/>
    <col min="17" max="17" width="13.44140625" style="10" bestFit="1" customWidth="1"/>
    <col min="18" max="18" width="16.109375" style="10" bestFit="1" customWidth="1"/>
    <col min="19" max="19" width="45" style="10" bestFit="1" customWidth="1"/>
    <col min="20" max="20" width="11" style="10" bestFit="1" customWidth="1"/>
    <col min="21" max="25" width="12.109375" style="10" bestFit="1" customWidth="1"/>
    <col min="26" max="27" width="13.44140625" style="10" bestFit="1" customWidth="1"/>
    <col min="28" max="28" width="17.21875" style="10" bestFit="1" customWidth="1"/>
    <col min="29" max="31" width="13.44140625" style="10" bestFit="1" customWidth="1"/>
    <col min="32" max="32" width="16.33203125" style="10" bestFit="1" customWidth="1"/>
    <col min="33" max="33" width="11.21875" style="10" bestFit="1" customWidth="1"/>
    <col min="34" max="34" width="16.109375" style="10" bestFit="1" customWidth="1"/>
    <col min="35" max="35" width="45" style="10" bestFit="1" customWidth="1"/>
    <col min="36" max="36" width="11" style="10" bestFit="1" customWidth="1"/>
    <col min="37" max="41" width="12.109375" style="10" bestFit="1" customWidth="1"/>
    <col min="42" max="47" width="13.44140625" style="10" bestFit="1" customWidth="1"/>
    <col min="48" max="48" width="16.33203125" style="10" bestFit="1" customWidth="1"/>
    <col min="49" max="49" width="10.109375" style="10" bestFit="1" customWidth="1"/>
    <col min="50" max="16384" width="8.88671875" style="10"/>
  </cols>
  <sheetData>
    <row r="1" spans="1:48">
      <c r="B1" s="11"/>
      <c r="C1" s="11" t="s">
        <v>128</v>
      </c>
      <c r="D1" s="149">
        <v>40360</v>
      </c>
      <c r="E1" s="149">
        <v>40391</v>
      </c>
      <c r="F1" s="149">
        <v>40422</v>
      </c>
      <c r="G1" s="149">
        <v>40452</v>
      </c>
      <c r="H1" s="149">
        <v>40483</v>
      </c>
      <c r="I1" s="149">
        <v>40513</v>
      </c>
      <c r="J1" s="149">
        <v>40544</v>
      </c>
      <c r="K1" s="149">
        <v>40575</v>
      </c>
      <c r="L1" s="149">
        <v>40603</v>
      </c>
      <c r="M1" s="149">
        <v>40634</v>
      </c>
      <c r="N1" s="149">
        <v>40664</v>
      </c>
      <c r="O1" s="149">
        <v>40695</v>
      </c>
      <c r="P1" s="11" t="s">
        <v>758</v>
      </c>
      <c r="R1" s="11" t="s">
        <v>127</v>
      </c>
      <c r="S1" s="11" t="s">
        <v>128</v>
      </c>
      <c r="T1" s="149">
        <v>40725</v>
      </c>
      <c r="U1" s="149">
        <v>40756</v>
      </c>
      <c r="V1" s="149">
        <v>40787</v>
      </c>
      <c r="W1" s="149">
        <v>40817</v>
      </c>
      <c r="X1" s="149">
        <v>40848</v>
      </c>
      <c r="Y1" s="149">
        <v>40878</v>
      </c>
      <c r="Z1" s="149">
        <v>40909</v>
      </c>
      <c r="AA1" s="149">
        <v>40940</v>
      </c>
      <c r="AB1" s="149">
        <v>40969</v>
      </c>
      <c r="AC1" s="149">
        <v>41000</v>
      </c>
      <c r="AD1" s="149">
        <v>41030</v>
      </c>
      <c r="AE1" s="149">
        <v>41061</v>
      </c>
      <c r="AF1" s="11" t="s">
        <v>868</v>
      </c>
      <c r="AH1" s="11" t="s">
        <v>127</v>
      </c>
      <c r="AI1" s="11" t="s">
        <v>128</v>
      </c>
      <c r="AJ1" s="149">
        <v>41091</v>
      </c>
      <c r="AK1" s="149">
        <v>41122</v>
      </c>
      <c r="AL1" s="149">
        <v>41153</v>
      </c>
      <c r="AM1" s="149">
        <v>41183</v>
      </c>
      <c r="AN1" s="149">
        <v>41214</v>
      </c>
      <c r="AO1" s="149">
        <v>41244</v>
      </c>
      <c r="AP1" s="149">
        <v>41275</v>
      </c>
      <c r="AQ1" s="149">
        <v>41306</v>
      </c>
      <c r="AR1" s="149">
        <v>41334</v>
      </c>
      <c r="AS1" s="149">
        <v>41365</v>
      </c>
      <c r="AT1" s="149">
        <v>41395</v>
      </c>
      <c r="AU1" s="149">
        <v>41426</v>
      </c>
      <c r="AV1" s="11" t="s">
        <v>895</v>
      </c>
    </row>
    <row r="2" spans="1:48">
      <c r="B2" s="150">
        <v>-0.15</v>
      </c>
      <c r="C2" s="10" t="s">
        <v>538</v>
      </c>
      <c r="D2" s="22">
        <v>0</v>
      </c>
      <c r="E2" s="22">
        <v>0</v>
      </c>
      <c r="F2" s="22">
        <f>27*(1+B2)</f>
        <v>22.95</v>
      </c>
      <c r="G2" s="22">
        <f>225*(1+B2)</f>
        <v>191.25</v>
      </c>
      <c r="H2" s="22">
        <f>470*(1+B2)</f>
        <v>399.5</v>
      </c>
      <c r="I2" s="152">
        <f>748*(1+B2)</f>
        <v>635.79999999999995</v>
      </c>
      <c r="J2" s="152">
        <f>873*(1+B2)</f>
        <v>742.05</v>
      </c>
      <c r="K2" s="152">
        <f>705*(1+B2)</f>
        <v>599.25</v>
      </c>
      <c r="L2" s="152">
        <f>528*(1+B2)</f>
        <v>448.8</v>
      </c>
      <c r="M2" s="152">
        <f>254*(1+B2)</f>
        <v>215.9</v>
      </c>
      <c r="N2" s="22">
        <f>80*(1+B2)</f>
        <v>68</v>
      </c>
      <c r="O2" s="22">
        <v>0</v>
      </c>
      <c r="P2" s="151">
        <f>SUM(D2:O2)</f>
        <v>3323.5000000000005</v>
      </c>
      <c r="R2" s="150">
        <v>-0.15</v>
      </c>
      <c r="S2" s="10" t="s">
        <v>538</v>
      </c>
      <c r="T2" s="22">
        <v>0</v>
      </c>
      <c r="U2" s="22">
        <v>0</v>
      </c>
      <c r="V2" s="22">
        <f>27*(1+R2)</f>
        <v>22.95</v>
      </c>
      <c r="W2" s="22">
        <f>225*(1+R2)</f>
        <v>191.25</v>
      </c>
      <c r="X2" s="22">
        <f>470*(1+R2)</f>
        <v>399.5</v>
      </c>
      <c r="Y2" s="22">
        <f>748*(1+R2)</f>
        <v>635.79999999999995</v>
      </c>
      <c r="Z2" s="22">
        <f>873*(1+R2)</f>
        <v>742.05</v>
      </c>
      <c r="AA2" s="154">
        <f>705*(1+R2)</f>
        <v>599.25</v>
      </c>
      <c r="AB2" s="22">
        <f>528*(1+R2)</f>
        <v>448.8</v>
      </c>
      <c r="AC2" s="22">
        <f>254*(1+R2)</f>
        <v>215.9</v>
      </c>
      <c r="AD2" s="22">
        <f>80*(1+R2)</f>
        <v>68</v>
      </c>
      <c r="AE2" s="22">
        <v>0</v>
      </c>
      <c r="AF2" s="151">
        <f>SUM(T2:AE2)</f>
        <v>3323.5000000000005</v>
      </c>
      <c r="AH2" s="150">
        <v>-0.15</v>
      </c>
      <c r="AI2" s="10" t="s">
        <v>538</v>
      </c>
      <c r="AJ2" s="22">
        <v>0</v>
      </c>
      <c r="AK2" s="22">
        <v>0</v>
      </c>
      <c r="AL2" s="22">
        <f>27*(1+AH2)</f>
        <v>22.95</v>
      </c>
      <c r="AM2" s="22">
        <f>225*(1+AH2)</f>
        <v>191.25</v>
      </c>
      <c r="AN2" s="22">
        <f>470*(1+AH2)</f>
        <v>399.5</v>
      </c>
      <c r="AO2" s="22">
        <f>748*(1+AH2)</f>
        <v>635.79999999999995</v>
      </c>
      <c r="AP2" s="22">
        <f>873*(1+AH2)</f>
        <v>742.05</v>
      </c>
      <c r="AQ2" s="152">
        <f>705*(1+AH2)</f>
        <v>599.25</v>
      </c>
      <c r="AR2" s="22">
        <f>528*(1+AH2)</f>
        <v>448.8</v>
      </c>
      <c r="AS2" s="22">
        <f>254*(1+AH2)</f>
        <v>215.9</v>
      </c>
      <c r="AT2" s="22">
        <f>80*(1+AH2)</f>
        <v>68</v>
      </c>
      <c r="AU2" s="22">
        <v>0</v>
      </c>
      <c r="AV2" s="151">
        <f>SUM(AJ2:AU2)</f>
        <v>3323.5000000000005</v>
      </c>
    </row>
    <row r="3" spans="1:48">
      <c r="C3" s="10" t="s">
        <v>941</v>
      </c>
      <c r="D3" s="22">
        <v>0</v>
      </c>
      <c r="E3" s="22">
        <v>0</v>
      </c>
      <c r="F3" s="132">
        <v>1</v>
      </c>
      <c r="G3" s="132">
        <v>158</v>
      </c>
      <c r="H3" s="132">
        <v>442</v>
      </c>
      <c r="I3" s="153">
        <v>976</v>
      </c>
      <c r="J3" s="153">
        <v>942</v>
      </c>
      <c r="K3" s="153">
        <v>559</v>
      </c>
      <c r="L3" s="153">
        <v>500</v>
      </c>
      <c r="M3" s="153">
        <v>170</v>
      </c>
      <c r="N3" s="132">
        <v>35</v>
      </c>
      <c r="O3" s="22"/>
      <c r="P3" s="151"/>
      <c r="S3" s="10" t="s">
        <v>294</v>
      </c>
      <c r="T3" s="22">
        <v>0</v>
      </c>
      <c r="U3" s="22">
        <v>0</v>
      </c>
      <c r="V3" s="22"/>
      <c r="W3" s="22"/>
      <c r="X3" s="22"/>
      <c r="Y3" s="22"/>
      <c r="Z3" s="22"/>
      <c r="AA3" s="22"/>
      <c r="AB3" s="22"/>
      <c r="AC3" s="22"/>
      <c r="AD3" s="22"/>
      <c r="AE3" s="22"/>
      <c r="AF3" s="151"/>
      <c r="AI3" s="10" t="s">
        <v>294</v>
      </c>
      <c r="AJ3" s="22">
        <v>0</v>
      </c>
      <c r="AK3" s="22">
        <v>0</v>
      </c>
      <c r="AL3" s="22"/>
      <c r="AM3" s="22"/>
      <c r="AN3" s="22"/>
      <c r="AO3" s="22"/>
      <c r="AP3" s="22"/>
      <c r="AQ3" s="152"/>
      <c r="AR3" s="22"/>
      <c r="AS3" s="22"/>
      <c r="AT3" s="22"/>
      <c r="AU3" s="22"/>
      <c r="AV3" s="151"/>
    </row>
    <row r="4" spans="1:48">
      <c r="C4" s="10" t="s">
        <v>413</v>
      </c>
      <c r="D4" s="22"/>
      <c r="E4" s="22"/>
      <c r="F4" s="22">
        <f t="shared" ref="F4:N4" si="0">F3-F2</f>
        <v>-21.95</v>
      </c>
      <c r="G4" s="22">
        <f t="shared" si="0"/>
        <v>-33.25</v>
      </c>
      <c r="H4" s="22">
        <f t="shared" si="0"/>
        <v>42.5</v>
      </c>
      <c r="I4" s="152">
        <f t="shared" si="0"/>
        <v>340.20000000000005</v>
      </c>
      <c r="J4" s="152">
        <f t="shared" si="0"/>
        <v>199.95000000000005</v>
      </c>
      <c r="K4" s="152">
        <f t="shared" si="0"/>
        <v>-40.25</v>
      </c>
      <c r="L4" s="152">
        <f t="shared" si="0"/>
        <v>51.199999999999989</v>
      </c>
      <c r="M4" s="152">
        <f t="shared" si="0"/>
        <v>-45.900000000000006</v>
      </c>
      <c r="N4" s="22">
        <f t="shared" si="0"/>
        <v>-33</v>
      </c>
      <c r="O4" s="22"/>
      <c r="P4" s="151">
        <f>SUM(D4:O4)</f>
        <v>459.50000000000011</v>
      </c>
      <c r="S4" s="10" t="s">
        <v>413</v>
      </c>
      <c r="T4" s="22"/>
      <c r="U4" s="22"/>
      <c r="V4" s="22">
        <f t="shared" ref="V4:AD4" si="1">V3-V2</f>
        <v>-22.95</v>
      </c>
      <c r="W4" s="22">
        <f t="shared" si="1"/>
        <v>-191.25</v>
      </c>
      <c r="X4" s="22">
        <f t="shared" si="1"/>
        <v>-399.5</v>
      </c>
      <c r="Y4" s="22">
        <f t="shared" si="1"/>
        <v>-635.79999999999995</v>
      </c>
      <c r="Z4" s="22">
        <f t="shared" si="1"/>
        <v>-742.05</v>
      </c>
      <c r="AA4" s="22">
        <f t="shared" si="1"/>
        <v>-599.25</v>
      </c>
      <c r="AB4" s="22">
        <f t="shared" si="1"/>
        <v>-448.8</v>
      </c>
      <c r="AC4" s="22">
        <f t="shared" si="1"/>
        <v>-215.9</v>
      </c>
      <c r="AD4" s="22">
        <f t="shared" si="1"/>
        <v>-68</v>
      </c>
      <c r="AE4" s="22"/>
      <c r="AF4" s="151">
        <f>SUM(T4:AE4)</f>
        <v>-3323.5000000000005</v>
      </c>
      <c r="AI4" s="10" t="s">
        <v>413</v>
      </c>
      <c r="AJ4" s="22"/>
      <c r="AK4" s="22"/>
      <c r="AL4" s="22">
        <f t="shared" ref="AL4:AT4" si="2">AL3-AL2</f>
        <v>-22.95</v>
      </c>
      <c r="AM4" s="22">
        <f t="shared" si="2"/>
        <v>-191.25</v>
      </c>
      <c r="AN4" s="22">
        <f t="shared" si="2"/>
        <v>-399.5</v>
      </c>
      <c r="AO4" s="22">
        <f t="shared" si="2"/>
        <v>-635.79999999999995</v>
      </c>
      <c r="AP4" s="22">
        <f t="shared" si="2"/>
        <v>-742.05</v>
      </c>
      <c r="AQ4" s="22">
        <f t="shared" si="2"/>
        <v>-599.25</v>
      </c>
      <c r="AR4" s="22">
        <f t="shared" si="2"/>
        <v>-448.8</v>
      </c>
      <c r="AS4" s="22">
        <f t="shared" si="2"/>
        <v>-215.9</v>
      </c>
      <c r="AT4" s="22">
        <f t="shared" si="2"/>
        <v>-68</v>
      </c>
      <c r="AU4" s="22"/>
      <c r="AV4" s="151">
        <f>SUM(AJ4:AU4)</f>
        <v>-3323.5000000000005</v>
      </c>
    </row>
    <row r="5" spans="1:48">
      <c r="C5" s="10" t="s">
        <v>414</v>
      </c>
      <c r="F5" s="124">
        <f t="shared" ref="F5:N5" si="3">F4/F2</f>
        <v>-0.95642701525054463</v>
      </c>
      <c r="G5" s="124">
        <f t="shared" si="3"/>
        <v>-0.17385620915032679</v>
      </c>
      <c r="H5" s="124">
        <f t="shared" si="3"/>
        <v>0.10638297872340426</v>
      </c>
      <c r="I5" s="165">
        <f t="shared" si="3"/>
        <v>0.53507392261717535</v>
      </c>
      <c r="J5" s="165">
        <f t="shared" si="3"/>
        <v>0.2694562361026886</v>
      </c>
      <c r="K5" s="165">
        <f t="shared" si="3"/>
        <v>-6.7167292448894453E-2</v>
      </c>
      <c r="L5" s="165">
        <f t="shared" si="3"/>
        <v>0.11408199643493758</v>
      </c>
      <c r="M5" s="165">
        <f t="shared" si="3"/>
        <v>-0.2125984251968504</v>
      </c>
      <c r="N5" s="124">
        <f t="shared" si="3"/>
        <v>-0.48529411764705882</v>
      </c>
      <c r="S5" s="10" t="s">
        <v>414</v>
      </c>
      <c r="V5" s="124">
        <f t="shared" ref="V5:AD5" si="4">V4/V2</f>
        <v>-1</v>
      </c>
      <c r="W5" s="124">
        <f t="shared" si="4"/>
        <v>-1</v>
      </c>
      <c r="X5" s="124">
        <f t="shared" si="4"/>
        <v>-1</v>
      </c>
      <c r="Y5" s="124">
        <f t="shared" si="4"/>
        <v>-1</v>
      </c>
      <c r="Z5" s="124">
        <f t="shared" si="4"/>
        <v>-1</v>
      </c>
      <c r="AA5" s="124">
        <f t="shared" si="4"/>
        <v>-1</v>
      </c>
      <c r="AB5" s="124">
        <f t="shared" si="4"/>
        <v>-1</v>
      </c>
      <c r="AC5" s="124">
        <f t="shared" si="4"/>
        <v>-1</v>
      </c>
      <c r="AD5" s="124">
        <f t="shared" si="4"/>
        <v>-1</v>
      </c>
      <c r="AI5" s="10" t="s">
        <v>414</v>
      </c>
      <c r="AL5" s="124">
        <f t="shared" ref="AL5:AT5" si="5">AL4/AL2</f>
        <v>-1</v>
      </c>
      <c r="AM5" s="124">
        <f t="shared" si="5"/>
        <v>-1</v>
      </c>
      <c r="AN5" s="124">
        <f t="shared" si="5"/>
        <v>-1</v>
      </c>
      <c r="AO5" s="124">
        <f t="shared" si="5"/>
        <v>-1</v>
      </c>
      <c r="AP5" s="124">
        <f t="shared" si="5"/>
        <v>-1</v>
      </c>
      <c r="AQ5" s="124">
        <f t="shared" si="5"/>
        <v>-1</v>
      </c>
      <c r="AR5" s="124">
        <f t="shared" si="5"/>
        <v>-1</v>
      </c>
      <c r="AS5" s="124">
        <f t="shared" si="5"/>
        <v>-1</v>
      </c>
      <c r="AT5" s="124">
        <f t="shared" si="5"/>
        <v>-1</v>
      </c>
    </row>
    <row r="6" spans="1:48">
      <c r="C6" s="10" t="s">
        <v>639</v>
      </c>
      <c r="D6" s="22"/>
      <c r="E6" s="22"/>
      <c r="F6" s="22">
        <f>F2</f>
        <v>22.95</v>
      </c>
      <c r="G6" s="22">
        <f t="shared" ref="G6:L6" si="6">F6+G2</f>
        <v>214.2</v>
      </c>
      <c r="H6" s="22">
        <f t="shared" si="6"/>
        <v>613.70000000000005</v>
      </c>
      <c r="I6" s="152">
        <f t="shared" si="6"/>
        <v>1249.5</v>
      </c>
      <c r="J6" s="152">
        <f t="shared" si="6"/>
        <v>1991.55</v>
      </c>
      <c r="K6" s="152">
        <f t="shared" si="6"/>
        <v>2590.8000000000002</v>
      </c>
      <c r="L6" s="152">
        <f t="shared" si="6"/>
        <v>3039.6000000000004</v>
      </c>
      <c r="M6" s="152">
        <f>L6+M2</f>
        <v>3255.5000000000005</v>
      </c>
      <c r="N6" s="22">
        <f>M6+N2</f>
        <v>3323.5000000000005</v>
      </c>
      <c r="O6" s="22"/>
      <c r="P6" s="151"/>
      <c r="Q6" s="22"/>
      <c r="S6" s="10" t="s">
        <v>639</v>
      </c>
      <c r="T6" s="22"/>
      <c r="U6" s="22"/>
      <c r="V6" s="22">
        <f>V2</f>
        <v>22.95</v>
      </c>
      <c r="W6" s="22">
        <f t="shared" ref="W6:AB6" si="7">V6+W2</f>
        <v>214.2</v>
      </c>
      <c r="X6" s="22">
        <f t="shared" si="7"/>
        <v>613.70000000000005</v>
      </c>
      <c r="Y6" s="22">
        <f t="shared" si="7"/>
        <v>1249.5</v>
      </c>
      <c r="Z6" s="22">
        <f t="shared" si="7"/>
        <v>1991.55</v>
      </c>
      <c r="AA6" s="22">
        <f>Z6+AA2</f>
        <v>2590.8000000000002</v>
      </c>
      <c r="AB6" s="22">
        <f t="shared" si="7"/>
        <v>3039.6000000000004</v>
      </c>
      <c r="AC6" s="22">
        <f>AB6+AC2</f>
        <v>3255.5000000000005</v>
      </c>
      <c r="AD6" s="22">
        <f>AC6+AD2</f>
        <v>3323.5000000000005</v>
      </c>
      <c r="AE6" s="22"/>
      <c r="AF6" s="151"/>
      <c r="AI6" s="10" t="s">
        <v>639</v>
      </c>
      <c r="AJ6" s="22"/>
      <c r="AK6" s="22"/>
      <c r="AL6" s="22">
        <f>AL2</f>
        <v>22.95</v>
      </c>
      <c r="AM6" s="22">
        <f t="shared" ref="AM6:AR6" si="8">AL6+AM2</f>
        <v>214.2</v>
      </c>
      <c r="AN6" s="22">
        <f t="shared" si="8"/>
        <v>613.70000000000005</v>
      </c>
      <c r="AO6" s="22">
        <f t="shared" si="8"/>
        <v>1249.5</v>
      </c>
      <c r="AP6" s="22">
        <f t="shared" si="8"/>
        <v>1991.55</v>
      </c>
      <c r="AQ6" s="22">
        <f t="shared" si="8"/>
        <v>2590.8000000000002</v>
      </c>
      <c r="AR6" s="22">
        <f t="shared" si="8"/>
        <v>3039.6000000000004</v>
      </c>
      <c r="AS6" s="22">
        <f>AR6+AS2</f>
        <v>3255.5000000000005</v>
      </c>
      <c r="AT6" s="22">
        <f>AS6+AT2</f>
        <v>3323.5000000000005</v>
      </c>
      <c r="AU6" s="22"/>
      <c r="AV6" s="151"/>
    </row>
    <row r="7" spans="1:48">
      <c r="C7" s="22" t="s">
        <v>640</v>
      </c>
      <c r="D7" s="22"/>
      <c r="E7" s="22"/>
      <c r="F7" s="22">
        <f>F3</f>
        <v>1</v>
      </c>
      <c r="G7" s="22">
        <f t="shared" ref="G7:L7" si="9">F7+G3</f>
        <v>159</v>
      </c>
      <c r="H7" s="22">
        <f t="shared" si="9"/>
        <v>601</v>
      </c>
      <c r="I7" s="152">
        <f t="shared" si="9"/>
        <v>1577</v>
      </c>
      <c r="J7" s="152">
        <f t="shared" si="9"/>
        <v>2519</v>
      </c>
      <c r="K7" s="152">
        <f t="shared" si="9"/>
        <v>3078</v>
      </c>
      <c r="L7" s="152">
        <f t="shared" si="9"/>
        <v>3578</v>
      </c>
      <c r="M7" s="152">
        <f>L7+M3</f>
        <v>3748</v>
      </c>
      <c r="N7" s="22">
        <f>M7+N3</f>
        <v>3783</v>
      </c>
      <c r="O7" s="22"/>
      <c r="P7" s="124"/>
      <c r="Q7" s="124"/>
      <c r="S7" s="22" t="s">
        <v>640</v>
      </c>
      <c r="T7" s="22"/>
      <c r="U7" s="22"/>
      <c r="V7" s="22">
        <f>V3</f>
        <v>0</v>
      </c>
      <c r="W7" s="22">
        <f t="shared" ref="W7:AB7" si="10">V7+W3</f>
        <v>0</v>
      </c>
      <c r="X7" s="22">
        <f t="shared" si="10"/>
        <v>0</v>
      </c>
      <c r="Y7" s="22">
        <f t="shared" si="10"/>
        <v>0</v>
      </c>
      <c r="Z7" s="22">
        <f t="shared" si="10"/>
        <v>0</v>
      </c>
      <c r="AA7" s="22">
        <f>Z7+AA3</f>
        <v>0</v>
      </c>
      <c r="AB7" s="22">
        <f t="shared" si="10"/>
        <v>0</v>
      </c>
      <c r="AC7" s="22">
        <f>AB7+AC3</f>
        <v>0</v>
      </c>
      <c r="AD7" s="22">
        <f>AC7+AD3</f>
        <v>0</v>
      </c>
      <c r="AE7" s="22"/>
      <c r="AF7" s="22"/>
      <c r="AI7" s="22" t="s">
        <v>640</v>
      </c>
      <c r="AJ7" s="22"/>
      <c r="AK7" s="22"/>
      <c r="AL7" s="22">
        <f>AL3</f>
        <v>0</v>
      </c>
      <c r="AM7" s="22">
        <f t="shared" ref="AM7:AR7" si="11">AL7+AM3</f>
        <v>0</v>
      </c>
      <c r="AN7" s="22">
        <f t="shared" si="11"/>
        <v>0</v>
      </c>
      <c r="AO7" s="22">
        <f t="shared" si="11"/>
        <v>0</v>
      </c>
      <c r="AP7" s="22">
        <f t="shared" si="11"/>
        <v>0</v>
      </c>
      <c r="AQ7" s="22">
        <f t="shared" si="11"/>
        <v>0</v>
      </c>
      <c r="AR7" s="22">
        <f t="shared" si="11"/>
        <v>0</v>
      </c>
      <c r="AS7" s="22">
        <f>AR7+AS3</f>
        <v>0</v>
      </c>
      <c r="AT7" s="22">
        <f>AS7+AT3</f>
        <v>0</v>
      </c>
      <c r="AU7" s="22"/>
      <c r="AV7" s="22"/>
    </row>
    <row r="8" spans="1:48">
      <c r="C8" s="10" t="s">
        <v>641</v>
      </c>
      <c r="F8" s="22">
        <f t="shared" ref="F8:N8" si="12">F7-F6</f>
        <v>-21.95</v>
      </c>
      <c r="G8" s="22">
        <f t="shared" si="12"/>
        <v>-55.199999999999989</v>
      </c>
      <c r="H8" s="22">
        <f t="shared" si="12"/>
        <v>-12.700000000000045</v>
      </c>
      <c r="I8" s="152">
        <f t="shared" si="12"/>
        <v>327.5</v>
      </c>
      <c r="J8" s="152">
        <f t="shared" si="12"/>
        <v>527.45000000000005</v>
      </c>
      <c r="K8" s="152">
        <f t="shared" si="12"/>
        <v>487.19999999999982</v>
      </c>
      <c r="L8" s="152">
        <f t="shared" si="12"/>
        <v>538.39999999999964</v>
      </c>
      <c r="M8" s="152">
        <f t="shared" si="12"/>
        <v>492.49999999999955</v>
      </c>
      <c r="N8" s="22">
        <f t="shared" si="12"/>
        <v>459.49999999999955</v>
      </c>
      <c r="P8" s="124"/>
      <c r="Q8" s="22"/>
      <c r="S8" s="10" t="s">
        <v>641</v>
      </c>
      <c r="V8" s="22">
        <f t="shared" ref="V8:AD8" si="13">V7-V6</f>
        <v>-22.95</v>
      </c>
      <c r="W8" s="22">
        <f t="shared" si="13"/>
        <v>-214.2</v>
      </c>
      <c r="X8" s="22">
        <f t="shared" si="13"/>
        <v>-613.70000000000005</v>
      </c>
      <c r="Y8" s="22">
        <f t="shared" si="13"/>
        <v>-1249.5</v>
      </c>
      <c r="Z8" s="22">
        <f t="shared" si="13"/>
        <v>-1991.55</v>
      </c>
      <c r="AA8" s="22">
        <f t="shared" si="13"/>
        <v>-2590.8000000000002</v>
      </c>
      <c r="AB8" s="22">
        <f t="shared" si="13"/>
        <v>-3039.6000000000004</v>
      </c>
      <c r="AC8" s="22">
        <f t="shared" si="13"/>
        <v>-3255.5000000000005</v>
      </c>
      <c r="AD8" s="22">
        <f t="shared" si="13"/>
        <v>-3323.5000000000005</v>
      </c>
      <c r="AI8" s="10" t="s">
        <v>641</v>
      </c>
      <c r="AL8" s="22">
        <f t="shared" ref="AL8:AT8" si="14">AL7-AL6</f>
        <v>-22.95</v>
      </c>
      <c r="AM8" s="22">
        <f t="shared" si="14"/>
        <v>-214.2</v>
      </c>
      <c r="AN8" s="22">
        <f t="shared" si="14"/>
        <v>-613.70000000000005</v>
      </c>
      <c r="AO8" s="22">
        <f t="shared" si="14"/>
        <v>-1249.5</v>
      </c>
      <c r="AP8" s="22">
        <f t="shared" si="14"/>
        <v>-1991.55</v>
      </c>
      <c r="AQ8" s="22">
        <f t="shared" si="14"/>
        <v>-2590.8000000000002</v>
      </c>
      <c r="AR8" s="22">
        <f t="shared" si="14"/>
        <v>-3039.6000000000004</v>
      </c>
      <c r="AS8" s="22">
        <f t="shared" si="14"/>
        <v>-3255.5000000000005</v>
      </c>
      <c r="AT8" s="22">
        <f t="shared" si="14"/>
        <v>-3323.5000000000005</v>
      </c>
    </row>
    <row r="9" spans="1:48">
      <c r="C9" s="10" t="s">
        <v>642</v>
      </c>
      <c r="F9" s="124">
        <f t="shared" ref="F9:N9" si="15">F8/F6</f>
        <v>-0.95642701525054463</v>
      </c>
      <c r="G9" s="124">
        <f t="shared" si="15"/>
        <v>-0.25770308123249297</v>
      </c>
      <c r="H9" s="124">
        <f t="shared" si="15"/>
        <v>-2.0694150236271868E-2</v>
      </c>
      <c r="I9" s="165">
        <f t="shared" si="15"/>
        <v>0.26210484193677469</v>
      </c>
      <c r="J9" s="165">
        <f t="shared" si="15"/>
        <v>0.26484396575531621</v>
      </c>
      <c r="K9" s="165">
        <f t="shared" si="15"/>
        <v>0.18805002315886976</v>
      </c>
      <c r="L9" s="165">
        <f t="shared" si="15"/>
        <v>0.17712856954862469</v>
      </c>
      <c r="M9" s="165">
        <f t="shared" si="15"/>
        <v>0.15128244509291952</v>
      </c>
      <c r="N9" s="124">
        <f t="shared" si="15"/>
        <v>0.13825786068903248</v>
      </c>
      <c r="P9" s="181"/>
      <c r="Q9" s="124"/>
      <c r="S9" s="10" t="s">
        <v>642</v>
      </c>
      <c r="V9" s="124">
        <f t="shared" ref="V9:AD9" si="16">V8/V6</f>
        <v>-1</v>
      </c>
      <c r="W9" s="124">
        <f t="shared" si="16"/>
        <v>-1</v>
      </c>
      <c r="X9" s="124">
        <f t="shared" si="16"/>
        <v>-1</v>
      </c>
      <c r="Y9" s="124">
        <f t="shared" si="16"/>
        <v>-1</v>
      </c>
      <c r="Z9" s="124">
        <f t="shared" si="16"/>
        <v>-1</v>
      </c>
      <c r="AA9" s="124">
        <f t="shared" si="16"/>
        <v>-1</v>
      </c>
      <c r="AB9" s="124">
        <f t="shared" si="16"/>
        <v>-1</v>
      </c>
      <c r="AC9" s="124">
        <f t="shared" si="16"/>
        <v>-1</v>
      </c>
      <c r="AD9" s="124">
        <f t="shared" si="16"/>
        <v>-1</v>
      </c>
      <c r="AF9" s="154"/>
      <c r="AI9" s="10" t="s">
        <v>642</v>
      </c>
      <c r="AL9" s="124">
        <f t="shared" ref="AL9:AT9" si="17">AL8/AL6</f>
        <v>-1</v>
      </c>
      <c r="AM9" s="124">
        <f t="shared" si="17"/>
        <v>-1</v>
      </c>
      <c r="AN9" s="124">
        <f t="shared" si="17"/>
        <v>-1</v>
      </c>
      <c r="AO9" s="124">
        <f t="shared" si="17"/>
        <v>-1</v>
      </c>
      <c r="AP9" s="124">
        <f t="shared" si="17"/>
        <v>-1</v>
      </c>
      <c r="AQ9" s="124">
        <f t="shared" si="17"/>
        <v>-1</v>
      </c>
      <c r="AR9" s="124">
        <f t="shared" si="17"/>
        <v>-1</v>
      </c>
      <c r="AS9" s="124">
        <f t="shared" si="17"/>
        <v>-1</v>
      </c>
      <c r="AT9" s="124">
        <f t="shared" si="17"/>
        <v>-1</v>
      </c>
      <c r="AV9" s="154"/>
    </row>
    <row r="10" spans="1:48">
      <c r="I10" s="165"/>
      <c r="J10" s="165"/>
      <c r="K10" s="165"/>
      <c r="L10" s="165"/>
      <c r="M10" s="165"/>
      <c r="P10" s="301"/>
      <c r="Y10" s="124"/>
      <c r="Z10" s="124"/>
      <c r="AA10" s="124"/>
      <c r="AB10" s="22">
        <v>912500</v>
      </c>
      <c r="AC10" s="124"/>
      <c r="AF10" s="154"/>
      <c r="AO10" s="124"/>
      <c r="AP10" s="124"/>
      <c r="AQ10" s="124"/>
      <c r="AR10" s="124"/>
      <c r="AS10" s="124"/>
      <c r="AV10" s="154"/>
    </row>
    <row r="11" spans="1:48">
      <c r="D11" s="124"/>
      <c r="E11" s="124"/>
      <c r="F11" s="124"/>
      <c r="G11" s="124"/>
      <c r="H11" s="22"/>
      <c r="I11" s="165"/>
      <c r="J11" s="165"/>
      <c r="K11" s="165"/>
      <c r="L11" s="165"/>
      <c r="M11" s="368">
        <f>0.06*M17</f>
        <v>72869.270366606012</v>
      </c>
      <c r="N11" s="368">
        <f>0.06*N17</f>
        <v>45190.225292955613</v>
      </c>
      <c r="O11" s="368">
        <f>0.06*O17</f>
        <v>31626.281033756521</v>
      </c>
      <c r="P11" s="22"/>
      <c r="Y11" s="124"/>
      <c r="Z11" s="124"/>
      <c r="AA11" s="124"/>
      <c r="AB11" s="22">
        <f>SUM(M13:O13,T13:AB13)</f>
        <v>12813591.738958672</v>
      </c>
      <c r="AC11" s="175">
        <f>AB10/AB11</f>
        <v>7.1213444176281879E-2</v>
      </c>
      <c r="AF11" s="154"/>
      <c r="AO11" s="124"/>
      <c r="AP11" s="124"/>
      <c r="AQ11" s="124"/>
      <c r="AR11" s="124"/>
      <c r="AS11" s="124"/>
      <c r="AV11" s="154"/>
    </row>
    <row r="12" spans="1:48">
      <c r="B12" s="11" t="s">
        <v>84</v>
      </c>
      <c r="C12" s="11" t="s">
        <v>167</v>
      </c>
      <c r="D12" s="149">
        <v>40360</v>
      </c>
      <c r="E12" s="149">
        <v>40391</v>
      </c>
      <c r="F12" s="149">
        <v>40422</v>
      </c>
      <c r="G12" s="149">
        <v>40452</v>
      </c>
      <c r="H12" s="149">
        <v>40483</v>
      </c>
      <c r="I12" s="149">
        <v>40513</v>
      </c>
      <c r="J12" s="149">
        <v>40544</v>
      </c>
      <c r="K12" s="149">
        <v>40575</v>
      </c>
      <c r="L12" s="149">
        <v>40603</v>
      </c>
      <c r="M12" s="149">
        <v>40634</v>
      </c>
      <c r="N12" s="149">
        <v>40664</v>
      </c>
      <c r="O12" s="149">
        <v>40695</v>
      </c>
      <c r="P12" s="11" t="s">
        <v>758</v>
      </c>
      <c r="R12" s="11" t="s">
        <v>84</v>
      </c>
      <c r="S12" s="11" t="s">
        <v>167</v>
      </c>
      <c r="T12" s="149">
        <v>40725</v>
      </c>
      <c r="U12" s="149">
        <v>40756</v>
      </c>
      <c r="V12" s="149">
        <v>40787</v>
      </c>
      <c r="W12" s="149">
        <v>40817</v>
      </c>
      <c r="X12" s="149">
        <v>40848</v>
      </c>
      <c r="Y12" s="149">
        <v>40878</v>
      </c>
      <c r="Z12" s="149">
        <v>40909</v>
      </c>
      <c r="AA12" s="149">
        <v>40940</v>
      </c>
      <c r="AB12" s="149">
        <v>40969</v>
      </c>
      <c r="AC12" s="149">
        <v>41000</v>
      </c>
      <c r="AD12" s="149">
        <v>41030</v>
      </c>
      <c r="AE12" s="149">
        <v>41061</v>
      </c>
      <c r="AF12" s="11" t="s">
        <v>868</v>
      </c>
      <c r="AH12" s="11" t="s">
        <v>84</v>
      </c>
      <c r="AI12" s="11" t="s">
        <v>167</v>
      </c>
      <c r="AJ12" s="149">
        <v>41091</v>
      </c>
      <c r="AK12" s="149">
        <v>41122</v>
      </c>
      <c r="AL12" s="149">
        <v>41153</v>
      </c>
      <c r="AM12" s="149">
        <v>41183</v>
      </c>
      <c r="AN12" s="149">
        <v>41214</v>
      </c>
      <c r="AO12" s="149">
        <v>41244</v>
      </c>
      <c r="AP12" s="149">
        <v>41275</v>
      </c>
      <c r="AQ12" s="149">
        <v>41306</v>
      </c>
      <c r="AR12" s="149">
        <v>41334</v>
      </c>
      <c r="AS12" s="149">
        <v>41365</v>
      </c>
      <c r="AT12" s="149">
        <v>41395</v>
      </c>
      <c r="AU12" s="149">
        <v>41426</v>
      </c>
      <c r="AV12" s="11" t="s">
        <v>895</v>
      </c>
    </row>
    <row r="13" spans="1:48" s="22" customFormat="1">
      <c r="B13" s="155">
        <v>0.05</v>
      </c>
      <c r="C13" s="156" t="s">
        <v>402</v>
      </c>
      <c r="D13" s="22">
        <f>D22/(1-$B$13)</f>
        <v>305898.69967492955</v>
      </c>
      <c r="E13" s="22">
        <f t="shared" ref="E13:O13" si="18">E22/(1-$B$13)</f>
        <v>305898.69967492955</v>
      </c>
      <c r="F13" s="22">
        <f t="shared" si="18"/>
        <v>359145.20581800235</v>
      </c>
      <c r="G13" s="22">
        <f t="shared" si="18"/>
        <v>831850.41744648491</v>
      </c>
      <c r="H13" s="22">
        <f t="shared" si="18"/>
        <v>1394685.6990304424</v>
      </c>
      <c r="I13" s="152">
        <f t="shared" si="18"/>
        <v>2054395.965866589</v>
      </c>
      <c r="J13" s="152">
        <f t="shared" si="18"/>
        <v>2346591.3646285646</v>
      </c>
      <c r="K13" s="152">
        <f t="shared" si="18"/>
        <v>1924277.6487239283</v>
      </c>
      <c r="L13" s="152">
        <f t="shared" si="18"/>
        <v>1540132.064045513</v>
      </c>
      <c r="M13" s="152">
        <f t="shared" si="18"/>
        <v>889772.04996974929</v>
      </c>
      <c r="N13" s="22">
        <f t="shared" si="18"/>
        <v>492903.75488259358</v>
      </c>
      <c r="O13" s="22">
        <f t="shared" si="18"/>
        <v>296030.99968541571</v>
      </c>
      <c r="P13" s="160">
        <f>SUM(D13:O13)</f>
        <v>12741582.569447143</v>
      </c>
      <c r="Q13" s="175">
        <f>377500/P13</f>
        <v>2.9627402871068919E-2</v>
      </c>
      <c r="R13" s="155">
        <v>0.05</v>
      </c>
      <c r="S13" s="156" t="s">
        <v>402</v>
      </c>
      <c r="T13" s="22">
        <f>T22/(1-$R$13)</f>
        <v>307611.26655638876</v>
      </c>
      <c r="U13" s="22">
        <f t="shared" ref="U13:AE13" si="19">U22/(1-$R$13)</f>
        <v>307611.26655638876</v>
      </c>
      <c r="V13" s="22">
        <f t="shared" si="19"/>
        <v>361231.93346589745</v>
      </c>
      <c r="W13" s="22">
        <f t="shared" si="19"/>
        <v>837141.35815616243</v>
      </c>
      <c r="X13" s="22">
        <f t="shared" si="19"/>
        <v>1403817.8471490073</v>
      </c>
      <c r="Y13" s="22">
        <f t="shared" si="19"/>
        <v>2068004.6377414137</v>
      </c>
      <c r="Z13" s="22">
        <f t="shared" si="19"/>
        <v>2362188.0219635102</v>
      </c>
      <c r="AA13" s="22">
        <f>AA22/(1-$R$13)</f>
        <v>1937036.7213216205</v>
      </c>
      <c r="AB13" s="22">
        <f t="shared" si="19"/>
        <v>1550241.8815105243</v>
      </c>
      <c r="AC13" s="22">
        <f t="shared" si="19"/>
        <v>895468.95921322436</v>
      </c>
      <c r="AD13" s="22">
        <f t="shared" si="19"/>
        <v>495888.63245853048</v>
      </c>
      <c r="AE13" s="22">
        <f t="shared" si="19"/>
        <v>297688.32247392467</v>
      </c>
      <c r="AF13" s="160">
        <f>SUM(T13:AE13)</f>
        <v>12823930.848566594</v>
      </c>
      <c r="AH13" s="155">
        <v>0.05</v>
      </c>
      <c r="AI13" s="156" t="s">
        <v>402</v>
      </c>
      <c r="AJ13" s="22">
        <f>AJ22/(1-$AH$13)</f>
        <v>309539.57178515283</v>
      </c>
      <c r="AK13" s="22">
        <f t="shared" ref="AK13:AU13" si="20">AK22/(1-$AH$13)</f>
        <v>309539.57178515283</v>
      </c>
      <c r="AL13" s="22">
        <f t="shared" si="20"/>
        <v>363587.52551030729</v>
      </c>
      <c r="AM13" s="22">
        <f t="shared" si="20"/>
        <v>843148.74846927694</v>
      </c>
      <c r="AN13" s="22">
        <f t="shared" si="20"/>
        <v>1414204.7044928267</v>
      </c>
      <c r="AO13" s="22">
        <f t="shared" si="20"/>
        <v>2083493.6347172628</v>
      </c>
      <c r="AP13" s="22">
        <f t="shared" si="20"/>
        <v>2379943.1773195541</v>
      </c>
      <c r="AQ13" s="22">
        <f t="shared" si="20"/>
        <v>1951559.549631254</v>
      </c>
      <c r="AR13" s="22">
        <f t="shared" si="20"/>
        <v>1561742.4397372305</v>
      </c>
      <c r="AS13" s="22">
        <f t="shared" si="20"/>
        <v>901939.89487606799</v>
      </c>
      <c r="AT13" s="22">
        <f t="shared" si="20"/>
        <v>499267.27905061911</v>
      </c>
      <c r="AU13" s="22">
        <f t="shared" si="20"/>
        <v>299554.42430821242</v>
      </c>
      <c r="AV13" s="160">
        <f>SUM(AJ13:AU13)</f>
        <v>12917520.521682918</v>
      </c>
    </row>
    <row r="14" spans="1:48" s="22" customFormat="1">
      <c r="A14" s="143">
        <f>A23/(1-$B$13)</f>
        <v>9867.6999895138579</v>
      </c>
      <c r="B14" s="143">
        <f>B23/(1-$B$13)</f>
        <v>2750.0743412891779</v>
      </c>
      <c r="C14" s="156" t="s">
        <v>643</v>
      </c>
      <c r="D14" s="22">
        <f>D13</f>
        <v>305898.69967492955</v>
      </c>
      <c r="E14" s="22">
        <f>D14+E13</f>
        <v>611797.3993498591</v>
      </c>
      <c r="F14" s="22">
        <f t="shared" ref="F14:O14" si="21">E14+F13</f>
        <v>970942.60516786145</v>
      </c>
      <c r="G14" s="22">
        <f t="shared" si="21"/>
        <v>1802793.0226143464</v>
      </c>
      <c r="H14" s="22">
        <f t="shared" si="21"/>
        <v>3197478.721644789</v>
      </c>
      <c r="I14" s="152">
        <f t="shared" si="21"/>
        <v>5251874.687511378</v>
      </c>
      <c r="J14" s="152">
        <f t="shared" si="21"/>
        <v>7598466.0521399425</v>
      </c>
      <c r="K14" s="152">
        <f t="shared" si="21"/>
        <v>9522743.7008638717</v>
      </c>
      <c r="L14" s="152">
        <f t="shared" si="21"/>
        <v>11062875.764909385</v>
      </c>
      <c r="M14" s="152">
        <f t="shared" si="21"/>
        <v>11952647.814879134</v>
      </c>
      <c r="N14" s="22">
        <f t="shared" si="21"/>
        <v>12445551.569761727</v>
      </c>
      <c r="O14" s="22">
        <f t="shared" si="21"/>
        <v>12741582.569447143</v>
      </c>
      <c r="P14" s="28"/>
      <c r="S14" s="156" t="s">
        <v>643</v>
      </c>
      <c r="T14" s="22">
        <f>T13</f>
        <v>307611.26655638876</v>
      </c>
      <c r="U14" s="22">
        <f t="shared" ref="U14:AE14" si="22">U13</f>
        <v>307611.26655638876</v>
      </c>
      <c r="V14" s="22">
        <f t="shared" si="22"/>
        <v>361231.93346589745</v>
      </c>
      <c r="W14" s="22">
        <f t="shared" si="22"/>
        <v>837141.35815616243</v>
      </c>
      <c r="X14" s="22">
        <f t="shared" si="22"/>
        <v>1403817.8471490073</v>
      </c>
      <c r="Y14" s="22">
        <f t="shared" si="22"/>
        <v>2068004.6377414137</v>
      </c>
      <c r="Z14" s="22">
        <f t="shared" si="22"/>
        <v>2362188.0219635102</v>
      </c>
      <c r="AA14" s="22">
        <f t="shared" si="22"/>
        <v>1937036.7213216205</v>
      </c>
      <c r="AB14" s="22">
        <f t="shared" si="22"/>
        <v>1550241.8815105243</v>
      </c>
      <c r="AC14" s="22">
        <f t="shared" si="22"/>
        <v>895468.95921322436</v>
      </c>
      <c r="AD14" s="22">
        <f t="shared" si="22"/>
        <v>495888.63245853048</v>
      </c>
      <c r="AE14" s="22">
        <f t="shared" si="22"/>
        <v>297688.32247392467</v>
      </c>
      <c r="AI14" s="156" t="s">
        <v>643</v>
      </c>
      <c r="AJ14" s="22">
        <f>AJ13</f>
        <v>309539.57178515283</v>
      </c>
      <c r="AK14" s="22">
        <f t="shared" ref="AK14:AU14" si="23">AK13</f>
        <v>309539.57178515283</v>
      </c>
      <c r="AL14" s="22">
        <f t="shared" si="23"/>
        <v>363587.52551030729</v>
      </c>
      <c r="AM14" s="22">
        <f t="shared" si="23"/>
        <v>843148.74846927694</v>
      </c>
      <c r="AN14" s="22">
        <f t="shared" si="23"/>
        <v>1414204.7044928267</v>
      </c>
      <c r="AO14" s="22">
        <f t="shared" si="23"/>
        <v>2083493.6347172628</v>
      </c>
      <c r="AP14" s="22">
        <f t="shared" si="23"/>
        <v>2379943.1773195541</v>
      </c>
      <c r="AQ14" s="22">
        <f t="shared" si="23"/>
        <v>1951559.549631254</v>
      </c>
      <c r="AR14" s="22">
        <f t="shared" si="23"/>
        <v>1561742.4397372305</v>
      </c>
      <c r="AS14" s="22">
        <f t="shared" si="23"/>
        <v>901939.89487606799</v>
      </c>
      <c r="AT14" s="22">
        <f t="shared" si="23"/>
        <v>499267.27905061911</v>
      </c>
      <c r="AU14" s="22">
        <f t="shared" si="23"/>
        <v>299554.42430821242</v>
      </c>
    </row>
    <row r="15" spans="1:48" s="22" customFormat="1">
      <c r="C15" s="156" t="s">
        <v>404</v>
      </c>
      <c r="D15" s="22">
        <f>D24/(1-$B$13)</f>
        <v>247466.66666666669</v>
      </c>
      <c r="E15" s="22">
        <f t="shared" ref="E15:O15" si="24">E24/(1-$B$13)</f>
        <v>240280.70175438598</v>
      </c>
      <c r="F15" s="22">
        <f t="shared" si="24"/>
        <v>220856.14035087722</v>
      </c>
      <c r="G15" s="22">
        <f t="shared" si="24"/>
        <v>333024.56140350876</v>
      </c>
      <c r="H15" s="22">
        <f t="shared" si="24"/>
        <v>345263.15789473685</v>
      </c>
      <c r="I15" s="152">
        <f t="shared" si="24"/>
        <v>417347.36842105264</v>
      </c>
      <c r="J15" s="152">
        <f t="shared" si="24"/>
        <v>430147.36842105264</v>
      </c>
      <c r="K15" s="152">
        <f t="shared" si="24"/>
        <v>374231.57894736843</v>
      </c>
      <c r="L15" s="152">
        <f t="shared" si="24"/>
        <v>338189.47368421056</v>
      </c>
      <c r="M15" s="152">
        <f t="shared" si="24"/>
        <v>324715.78947368421</v>
      </c>
      <c r="N15" s="22">
        <f t="shared" si="24"/>
        <v>260266.66666666669</v>
      </c>
      <c r="O15" s="22">
        <f t="shared" si="24"/>
        <v>231073.68421052632</v>
      </c>
      <c r="P15" s="160">
        <f>SUM(D15:O15)</f>
        <v>3762863.1578947366</v>
      </c>
      <c r="Q15" s="124"/>
      <c r="S15" s="156" t="s">
        <v>404</v>
      </c>
      <c r="T15" s="22">
        <f>T24/(1-$R$13)</f>
        <v>249487.71929824565</v>
      </c>
      <c r="U15" s="22">
        <f t="shared" ref="U15:AE15" si="25">U24/(1-$R$13)</f>
        <v>238035.08771929826</v>
      </c>
      <c r="V15" s="22">
        <f t="shared" si="25"/>
        <v>216028.0701754386</v>
      </c>
      <c r="W15" s="22">
        <f t="shared" si="25"/>
        <v>346049.12280701759</v>
      </c>
      <c r="X15" s="22">
        <f t="shared" si="25"/>
        <v>353235.08771929826</v>
      </c>
      <c r="Y15" s="22">
        <f t="shared" si="25"/>
        <v>427901.75438596494</v>
      </c>
      <c r="Z15" s="22">
        <f t="shared" si="25"/>
        <v>441824.56140350876</v>
      </c>
      <c r="AA15" s="22">
        <f>AA24/(1-$R$13)</f>
        <v>391635.08771929826</v>
      </c>
      <c r="AB15" s="22">
        <f t="shared" si="25"/>
        <v>354582.4561403509</v>
      </c>
      <c r="AC15" s="22">
        <f t="shared" si="25"/>
        <v>335719.29824561405</v>
      </c>
      <c r="AD15" s="22">
        <f t="shared" si="25"/>
        <v>274750.87719298247</v>
      </c>
      <c r="AE15" s="22">
        <f t="shared" si="25"/>
        <v>238933.33333333337</v>
      </c>
      <c r="AF15" s="157">
        <f>SUM(T15:AE15)</f>
        <v>3868182.4561403515</v>
      </c>
      <c r="AI15" s="156" t="s">
        <v>404</v>
      </c>
      <c r="AJ15" s="22">
        <f>AJ24/(1-$AH$13)</f>
        <v>255157.89473684211</v>
      </c>
      <c r="AK15" s="22">
        <f t="shared" ref="AK15:AU15" si="26">AK24/(1-$AH$13)</f>
        <v>243705.26315789475</v>
      </c>
      <c r="AL15" s="22">
        <f t="shared" si="26"/>
        <v>221754.38596491228</v>
      </c>
      <c r="AM15" s="22">
        <f t="shared" si="26"/>
        <v>353010.5263157895</v>
      </c>
      <c r="AN15" s="22">
        <f t="shared" si="26"/>
        <v>364912.28070175444</v>
      </c>
      <c r="AO15" s="22">
        <f t="shared" si="26"/>
        <v>438680.70175438601</v>
      </c>
      <c r="AP15" s="22">
        <f t="shared" si="26"/>
        <v>452715.78947368421</v>
      </c>
      <c r="AQ15" s="22">
        <f t="shared" si="26"/>
        <v>397810.5263157895</v>
      </c>
      <c r="AR15" s="22">
        <f t="shared" si="26"/>
        <v>363003.50877192983</v>
      </c>
      <c r="AS15" s="22">
        <f t="shared" si="26"/>
        <v>343915.78947368421</v>
      </c>
      <c r="AT15" s="22">
        <f t="shared" si="26"/>
        <v>280477.19298245612</v>
      </c>
      <c r="AU15" s="22">
        <f t="shared" si="26"/>
        <v>244659.64912280705</v>
      </c>
      <c r="AV15" s="157">
        <f>SUM(AJ15:AU15)</f>
        <v>3959803.5087719304</v>
      </c>
    </row>
    <row r="16" spans="1:48" s="22" customFormat="1">
      <c r="A16" s="143">
        <f>A25/(1-$B$13)</f>
        <v>8516.4912280701756</v>
      </c>
      <c r="B16" s="143">
        <f>B25/(1-$B$13)</f>
        <v>266.10526315789474</v>
      </c>
      <c r="C16" s="156" t="s">
        <v>644</v>
      </c>
      <c r="D16" s="22">
        <f>D15</f>
        <v>247466.66666666669</v>
      </c>
      <c r="E16" s="22">
        <f>D16+E15</f>
        <v>487747.3684210527</v>
      </c>
      <c r="F16" s="22">
        <f t="shared" ref="F16:O16" si="27">E16+F15</f>
        <v>708603.50877192989</v>
      </c>
      <c r="G16" s="22">
        <f t="shared" si="27"/>
        <v>1041628.0701754387</v>
      </c>
      <c r="H16" s="22">
        <f t="shared" si="27"/>
        <v>1386891.2280701755</v>
      </c>
      <c r="I16" s="152">
        <f t="shared" si="27"/>
        <v>1804238.5964912281</v>
      </c>
      <c r="J16" s="152">
        <f t="shared" si="27"/>
        <v>2234385.9649122809</v>
      </c>
      <c r="K16" s="152">
        <f t="shared" si="27"/>
        <v>2608617.5438596494</v>
      </c>
      <c r="L16" s="152">
        <f t="shared" si="27"/>
        <v>2946807.0175438598</v>
      </c>
      <c r="M16" s="152">
        <f t="shared" si="27"/>
        <v>3271522.8070175438</v>
      </c>
      <c r="N16" s="22">
        <f t="shared" si="27"/>
        <v>3531789.4736842103</v>
      </c>
      <c r="O16" s="22">
        <f t="shared" si="27"/>
        <v>3762863.1578947366</v>
      </c>
      <c r="S16" s="156" t="s">
        <v>644</v>
      </c>
      <c r="T16" s="22">
        <f>T15</f>
        <v>249487.71929824565</v>
      </c>
      <c r="U16" s="22">
        <f t="shared" ref="U16:AE16" si="28">U15</f>
        <v>238035.08771929826</v>
      </c>
      <c r="V16" s="22">
        <f t="shared" si="28"/>
        <v>216028.0701754386</v>
      </c>
      <c r="W16" s="22">
        <f t="shared" si="28"/>
        <v>346049.12280701759</v>
      </c>
      <c r="X16" s="22">
        <f t="shared" si="28"/>
        <v>353235.08771929826</v>
      </c>
      <c r="Y16" s="22">
        <f t="shared" si="28"/>
        <v>427901.75438596494</v>
      </c>
      <c r="Z16" s="22">
        <f t="shared" si="28"/>
        <v>441824.56140350876</v>
      </c>
      <c r="AA16" s="22">
        <f t="shared" si="28"/>
        <v>391635.08771929826</v>
      </c>
      <c r="AB16" s="22">
        <f t="shared" si="28"/>
        <v>354582.4561403509</v>
      </c>
      <c r="AC16" s="22">
        <f t="shared" si="28"/>
        <v>335719.29824561405</v>
      </c>
      <c r="AD16" s="22">
        <f t="shared" si="28"/>
        <v>274750.87719298247</v>
      </c>
      <c r="AE16" s="22">
        <f t="shared" si="28"/>
        <v>238933.33333333337</v>
      </c>
      <c r="AI16" s="156" t="s">
        <v>644</v>
      </c>
      <c r="AJ16" s="22">
        <f>AJ15</f>
        <v>255157.89473684211</v>
      </c>
      <c r="AK16" s="22">
        <f t="shared" ref="AK16:AU16" si="29">AK15</f>
        <v>243705.26315789475</v>
      </c>
      <c r="AL16" s="22">
        <f t="shared" si="29"/>
        <v>221754.38596491228</v>
      </c>
      <c r="AM16" s="22">
        <f t="shared" si="29"/>
        <v>353010.5263157895</v>
      </c>
      <c r="AN16" s="22">
        <f t="shared" si="29"/>
        <v>364912.28070175444</v>
      </c>
      <c r="AO16" s="22">
        <f t="shared" si="29"/>
        <v>438680.70175438601</v>
      </c>
      <c r="AP16" s="22">
        <f t="shared" si="29"/>
        <v>452715.78947368421</v>
      </c>
      <c r="AQ16" s="22">
        <f t="shared" si="29"/>
        <v>397810.5263157895</v>
      </c>
      <c r="AR16" s="22">
        <f t="shared" si="29"/>
        <v>363003.50877192983</v>
      </c>
      <c r="AS16" s="22">
        <f t="shared" si="29"/>
        <v>343915.78947368421</v>
      </c>
      <c r="AT16" s="22">
        <f t="shared" si="29"/>
        <v>280477.19298245612</v>
      </c>
      <c r="AU16" s="22">
        <f t="shared" si="29"/>
        <v>244659.64912280705</v>
      </c>
    </row>
    <row r="17" spans="1:48" s="22" customFormat="1">
      <c r="C17" s="22" t="s">
        <v>415</v>
      </c>
      <c r="D17" s="22">
        <f>SUM(D13,D15)</f>
        <v>553365.36634159624</v>
      </c>
      <c r="E17" s="22">
        <f t="shared" ref="E17:O17" si="30">SUM(E13,E15)</f>
        <v>546179.40142931556</v>
      </c>
      <c r="F17" s="22">
        <f t="shared" si="30"/>
        <v>580001.34616887954</v>
      </c>
      <c r="G17" s="22">
        <f t="shared" si="30"/>
        <v>1164874.9788499936</v>
      </c>
      <c r="H17" s="22">
        <f t="shared" si="30"/>
        <v>1739948.8569251793</v>
      </c>
      <c r="I17" s="152">
        <f t="shared" si="30"/>
        <v>2471743.3342876416</v>
      </c>
      <c r="J17" s="152">
        <f t="shared" si="30"/>
        <v>2776738.7330496171</v>
      </c>
      <c r="K17" s="152">
        <f t="shared" si="30"/>
        <v>2298509.2276712968</v>
      </c>
      <c r="L17" s="163">
        <f t="shared" si="30"/>
        <v>1878321.5377297236</v>
      </c>
      <c r="M17" s="152">
        <f t="shared" si="30"/>
        <v>1214487.8394434336</v>
      </c>
      <c r="N17" s="22">
        <f t="shared" si="30"/>
        <v>753170.42154926027</v>
      </c>
      <c r="O17" s="22">
        <f t="shared" si="30"/>
        <v>527104.68389594206</v>
      </c>
      <c r="P17" s="160">
        <f>SUM(D17:O17)</f>
        <v>16504445.727341879</v>
      </c>
      <c r="Q17" s="124"/>
      <c r="S17" s="22" t="s">
        <v>415</v>
      </c>
      <c r="T17" s="22">
        <f>SUM(T13,T15)</f>
        <v>557098.98585463443</v>
      </c>
      <c r="U17" s="22">
        <f t="shared" ref="U17:AE17" si="31">SUM(U13,U15)</f>
        <v>545646.35427568702</v>
      </c>
      <c r="V17" s="22">
        <f t="shared" si="31"/>
        <v>577260.00364133599</v>
      </c>
      <c r="W17" s="22">
        <f t="shared" si="31"/>
        <v>1183190.4809631801</v>
      </c>
      <c r="X17" s="22">
        <f t="shared" si="31"/>
        <v>1757052.9348683055</v>
      </c>
      <c r="Y17" s="22">
        <f t="shared" si="31"/>
        <v>2495906.3921273788</v>
      </c>
      <c r="Z17" s="22">
        <f t="shared" si="31"/>
        <v>2804012.583367019</v>
      </c>
      <c r="AA17" s="22">
        <f>SUM(AA13,AA15)</f>
        <v>2328671.8090409189</v>
      </c>
      <c r="AB17" s="22">
        <f t="shared" si="31"/>
        <v>1904824.3376508751</v>
      </c>
      <c r="AC17" s="22">
        <f t="shared" si="31"/>
        <v>1231188.2574588384</v>
      </c>
      <c r="AD17" s="22">
        <f t="shared" si="31"/>
        <v>770639.50965151296</v>
      </c>
      <c r="AE17" s="22">
        <f t="shared" si="31"/>
        <v>536621.6558072581</v>
      </c>
      <c r="AF17" s="445">
        <f>SUM(T17:AE17)</f>
        <v>16692113.304706944</v>
      </c>
      <c r="AI17" s="22" t="s">
        <v>415</v>
      </c>
      <c r="AJ17" s="22">
        <f>SUM(AJ13,AJ15)</f>
        <v>564697.46652199491</v>
      </c>
      <c r="AK17" s="22">
        <f t="shared" ref="AK17:AU17" si="32">SUM(AK13,AK15)</f>
        <v>553244.83494304761</v>
      </c>
      <c r="AL17" s="22">
        <f t="shared" si="32"/>
        <v>585341.91147521953</v>
      </c>
      <c r="AM17" s="22">
        <f t="shared" si="32"/>
        <v>1196159.2747850665</v>
      </c>
      <c r="AN17" s="22">
        <f t="shared" si="32"/>
        <v>1779116.9851945811</v>
      </c>
      <c r="AO17" s="22">
        <f t="shared" si="32"/>
        <v>2522174.3364716489</v>
      </c>
      <c r="AP17" s="22">
        <f t="shared" si="32"/>
        <v>2832658.9667932382</v>
      </c>
      <c r="AQ17" s="22">
        <f t="shared" si="32"/>
        <v>2349370.0759470435</v>
      </c>
      <c r="AR17" s="22">
        <f t="shared" si="32"/>
        <v>1924745.9485091604</v>
      </c>
      <c r="AS17" s="22">
        <f t="shared" si="32"/>
        <v>1245855.6843497523</v>
      </c>
      <c r="AT17" s="22">
        <f t="shared" si="32"/>
        <v>779744.47203307529</v>
      </c>
      <c r="AU17" s="22">
        <f t="shared" si="32"/>
        <v>544214.07343101944</v>
      </c>
      <c r="AV17" s="157">
        <f>SUM(AJ17:AU17)</f>
        <v>16877324.030454848</v>
      </c>
    </row>
    <row r="18" spans="1:48" s="22" customFormat="1">
      <c r="A18" s="143">
        <f>A14+A16</f>
        <v>18384.191217584033</v>
      </c>
      <c r="B18" s="143">
        <f>B14+B16</f>
        <v>3016.1796044470725</v>
      </c>
      <c r="C18" s="22" t="s">
        <v>645</v>
      </c>
      <c r="D18" s="22">
        <f>D17</f>
        <v>553365.36634159624</v>
      </c>
      <c r="E18" s="22">
        <f>D18+E17</f>
        <v>1099544.7677709118</v>
      </c>
      <c r="F18" s="22">
        <f t="shared" ref="F18:O18" si="33">E18+F17</f>
        <v>1679546.1139397915</v>
      </c>
      <c r="G18" s="22">
        <f t="shared" si="33"/>
        <v>2844421.092789785</v>
      </c>
      <c r="H18" s="22">
        <f t="shared" si="33"/>
        <v>4584369.9497149643</v>
      </c>
      <c r="I18" s="152">
        <f t="shared" si="33"/>
        <v>7056113.2840026058</v>
      </c>
      <c r="J18" s="152">
        <f t="shared" si="33"/>
        <v>9832852.017052222</v>
      </c>
      <c r="K18" s="152">
        <f t="shared" si="33"/>
        <v>12131361.244723519</v>
      </c>
      <c r="L18" s="152">
        <f t="shared" si="33"/>
        <v>14009682.782453243</v>
      </c>
      <c r="M18" s="152">
        <f t="shared" si="33"/>
        <v>15224170.621896677</v>
      </c>
      <c r="N18" s="22">
        <f t="shared" si="33"/>
        <v>15977341.043445937</v>
      </c>
      <c r="O18" s="22">
        <f t="shared" si="33"/>
        <v>16504445.727341879</v>
      </c>
      <c r="S18" s="22" t="s">
        <v>645</v>
      </c>
      <c r="T18" s="22">
        <f>T17</f>
        <v>557098.98585463443</v>
      </c>
      <c r="U18" s="22">
        <f>T18+U17</f>
        <v>1102745.3401303214</v>
      </c>
      <c r="V18" s="22">
        <f t="shared" ref="V18:AE18" si="34">U18+V17</f>
        <v>1680005.3437716574</v>
      </c>
      <c r="W18" s="22">
        <f t="shared" si="34"/>
        <v>2863195.8247348377</v>
      </c>
      <c r="X18" s="22">
        <f t="shared" si="34"/>
        <v>4620248.7596031427</v>
      </c>
      <c r="Y18" s="22">
        <f t="shared" si="34"/>
        <v>7116155.1517305216</v>
      </c>
      <c r="Z18" s="22">
        <f t="shared" si="34"/>
        <v>9920167.7350975405</v>
      </c>
      <c r="AA18" s="22">
        <f t="shared" si="34"/>
        <v>12248839.544138459</v>
      </c>
      <c r="AB18" s="22">
        <f t="shared" si="34"/>
        <v>14153663.881789334</v>
      </c>
      <c r="AC18" s="22">
        <f t="shared" si="34"/>
        <v>15384852.139248172</v>
      </c>
      <c r="AD18" s="22">
        <f t="shared" si="34"/>
        <v>16155491.648899686</v>
      </c>
      <c r="AE18" s="22">
        <f t="shared" si="34"/>
        <v>16692113.304706944</v>
      </c>
      <c r="AI18" s="22" t="s">
        <v>645</v>
      </c>
      <c r="AJ18" s="22">
        <f>AJ17</f>
        <v>564697.46652199491</v>
      </c>
      <c r="AK18" s="22">
        <f>AJ18+AK17</f>
        <v>1117942.3014650424</v>
      </c>
      <c r="AL18" s="22">
        <f t="shared" ref="AL18:AU18" si="35">AK18+AL17</f>
        <v>1703284.2129402619</v>
      </c>
      <c r="AM18" s="22">
        <f t="shared" si="35"/>
        <v>2899443.4877253287</v>
      </c>
      <c r="AN18" s="22">
        <f t="shared" si="35"/>
        <v>4678560.4729199093</v>
      </c>
      <c r="AO18" s="22">
        <f t="shared" si="35"/>
        <v>7200734.8093915582</v>
      </c>
      <c r="AP18" s="22">
        <f t="shared" si="35"/>
        <v>10033393.776184797</v>
      </c>
      <c r="AQ18" s="22">
        <f t="shared" si="35"/>
        <v>12382763.85213184</v>
      </c>
      <c r="AR18" s="22">
        <f t="shared" si="35"/>
        <v>14307509.800641</v>
      </c>
      <c r="AS18" s="22">
        <f t="shared" si="35"/>
        <v>15553365.484990753</v>
      </c>
      <c r="AT18" s="22">
        <f t="shared" si="35"/>
        <v>16333109.957023829</v>
      </c>
      <c r="AU18" s="22">
        <f t="shared" si="35"/>
        <v>16877324.030454848</v>
      </c>
    </row>
    <row r="19" spans="1:48" s="28" customFormat="1">
      <c r="A19" s="131"/>
      <c r="B19" s="131"/>
      <c r="I19" s="163"/>
      <c r="J19" s="163"/>
      <c r="K19" s="163"/>
      <c r="L19" s="163"/>
      <c r="M19" s="163"/>
      <c r="P19" s="129"/>
    </row>
    <row r="20" spans="1:48">
      <c r="B20" s="175"/>
      <c r="C20" s="300" t="s">
        <v>742</v>
      </c>
      <c r="D20" s="309">
        <v>1.04</v>
      </c>
      <c r="E20" s="309">
        <v>1.04</v>
      </c>
      <c r="F20" s="309">
        <v>1.04</v>
      </c>
      <c r="G20" s="309">
        <v>1.04</v>
      </c>
      <c r="H20" s="309">
        <v>1.04</v>
      </c>
      <c r="I20" s="326">
        <v>1.04</v>
      </c>
      <c r="J20" s="326">
        <v>1.04</v>
      </c>
      <c r="K20" s="326">
        <v>1.04</v>
      </c>
      <c r="L20" s="326">
        <v>1.04</v>
      </c>
      <c r="M20" s="326">
        <v>1.04</v>
      </c>
      <c r="N20" s="309">
        <v>1.04</v>
      </c>
      <c r="O20" s="309">
        <v>1.04</v>
      </c>
      <c r="P20" s="154"/>
      <c r="Y20" s="124"/>
      <c r="Z20" s="124"/>
      <c r="AA20" s="124"/>
      <c r="AB20" s="124"/>
      <c r="AC20" s="124"/>
      <c r="AF20" s="154"/>
      <c r="AO20" s="124"/>
      <c r="AP20" s="124"/>
      <c r="AQ20" s="124"/>
      <c r="AR20" s="124"/>
      <c r="AS20" s="124"/>
      <c r="AV20" s="154"/>
    </row>
    <row r="21" spans="1:48">
      <c r="A21" s="11" t="s">
        <v>81</v>
      </c>
      <c r="B21" s="11" t="s">
        <v>82</v>
      </c>
      <c r="C21" s="11" t="s">
        <v>79</v>
      </c>
      <c r="D21" s="149">
        <v>40360</v>
      </c>
      <c r="E21" s="149">
        <v>40391</v>
      </c>
      <c r="F21" s="149">
        <v>40422</v>
      </c>
      <c r="G21" s="149">
        <v>40452</v>
      </c>
      <c r="H21" s="149">
        <v>40483</v>
      </c>
      <c r="I21" s="149">
        <v>40513</v>
      </c>
      <c r="J21" s="149">
        <v>40544</v>
      </c>
      <c r="K21" s="149">
        <v>40575</v>
      </c>
      <c r="L21" s="149">
        <v>40603</v>
      </c>
      <c r="M21" s="149">
        <v>40634</v>
      </c>
      <c r="N21" s="149">
        <v>40664</v>
      </c>
      <c r="O21" s="149">
        <v>40695</v>
      </c>
      <c r="P21" s="11" t="s">
        <v>758</v>
      </c>
      <c r="Q21" s="11" t="s">
        <v>81</v>
      </c>
      <c r="R21" s="11" t="s">
        <v>82</v>
      </c>
      <c r="S21" s="11" t="s">
        <v>79</v>
      </c>
      <c r="T21" s="149">
        <v>40725</v>
      </c>
      <c r="U21" s="149">
        <v>40756</v>
      </c>
      <c r="V21" s="149">
        <v>40787</v>
      </c>
      <c r="W21" s="149">
        <v>40817</v>
      </c>
      <c r="X21" s="149">
        <v>40848</v>
      </c>
      <c r="Y21" s="149">
        <v>40878</v>
      </c>
      <c r="Z21" s="149">
        <v>40909</v>
      </c>
      <c r="AA21" s="149">
        <v>40940</v>
      </c>
      <c r="AB21" s="149">
        <v>40969</v>
      </c>
      <c r="AC21" s="149">
        <v>41000</v>
      </c>
      <c r="AD21" s="149">
        <v>41030</v>
      </c>
      <c r="AE21" s="149">
        <v>41061</v>
      </c>
      <c r="AF21" s="11" t="s">
        <v>868</v>
      </c>
      <c r="AG21" s="11" t="s">
        <v>81</v>
      </c>
      <c r="AH21" s="11" t="s">
        <v>82</v>
      </c>
      <c r="AI21" s="11" t="s">
        <v>79</v>
      </c>
      <c r="AJ21" s="149">
        <v>41091</v>
      </c>
      <c r="AK21" s="149">
        <v>41122</v>
      </c>
      <c r="AL21" s="149">
        <v>41153</v>
      </c>
      <c r="AM21" s="149">
        <v>41183</v>
      </c>
      <c r="AN21" s="149">
        <v>41214</v>
      </c>
      <c r="AO21" s="149">
        <v>41244</v>
      </c>
      <c r="AP21" s="149">
        <v>41275</v>
      </c>
      <c r="AQ21" s="149">
        <v>41306</v>
      </c>
      <c r="AR21" s="149">
        <v>41334</v>
      </c>
      <c r="AS21" s="149">
        <v>41365</v>
      </c>
      <c r="AT21" s="149">
        <v>41395</v>
      </c>
      <c r="AU21" s="149">
        <v>41426</v>
      </c>
      <c r="AV21" s="11" t="s">
        <v>895</v>
      </c>
    </row>
    <row r="22" spans="1:48">
      <c r="A22" s="133">
        <v>1.04</v>
      </c>
      <c r="B22" s="155">
        <v>0.05</v>
      </c>
      <c r="C22" s="10" t="s">
        <v>406</v>
      </c>
      <c r="D22" s="158">
        <f t="shared" ref="D22:L22" si="36">D52*D20/(1-$B$22)</f>
        <v>290603.76469118305</v>
      </c>
      <c r="E22" s="158">
        <f t="shared" si="36"/>
        <v>290603.76469118305</v>
      </c>
      <c r="F22" s="158">
        <f t="shared" si="36"/>
        <v>341187.94552710222</v>
      </c>
      <c r="G22" s="158">
        <f t="shared" si="36"/>
        <v>790257.89657416067</v>
      </c>
      <c r="H22" s="158">
        <f t="shared" si="36"/>
        <v>1324951.4140789201</v>
      </c>
      <c r="I22" s="158">
        <f t="shared" si="36"/>
        <v>1951676.1675732594</v>
      </c>
      <c r="J22" s="158">
        <f t="shared" si="36"/>
        <v>2229261.7963971361</v>
      </c>
      <c r="K22" s="158">
        <f t="shared" si="36"/>
        <v>1828063.7662877317</v>
      </c>
      <c r="L22" s="158">
        <f t="shared" si="36"/>
        <v>1463125.4608432373</v>
      </c>
      <c r="M22" s="158">
        <f>M52*$A$22/(1-$B$22)</f>
        <v>845283.44747126184</v>
      </c>
      <c r="N22" s="158">
        <f>N52*$A$22/(1-$B$22)</f>
        <v>468258.5671384639</v>
      </c>
      <c r="O22" s="158">
        <f>O52*$A$22/(1-$B$22)</f>
        <v>281229.44970114488</v>
      </c>
      <c r="P22" s="143">
        <f>SUM(D22:O22)</f>
        <v>12104503.440974783</v>
      </c>
      <c r="Q22" s="133">
        <v>1.04</v>
      </c>
      <c r="R22" s="155">
        <v>0.05</v>
      </c>
      <c r="S22" s="10" t="s">
        <v>406</v>
      </c>
      <c r="T22" s="158">
        <f>T52*$A$22/(1-$R$22)</f>
        <v>292230.7032285693</v>
      </c>
      <c r="U22" s="158">
        <f>U52*$A$22/(1-$R$22)</f>
        <v>292230.7032285693</v>
      </c>
      <c r="V22" s="158">
        <f t="shared" ref="V22:AE22" si="37">V52*$A$22/(1-$R$22)</f>
        <v>343170.33679260255</v>
      </c>
      <c r="W22" s="158">
        <f t="shared" si="37"/>
        <v>795284.29024835431</v>
      </c>
      <c r="X22" s="158">
        <f t="shared" si="37"/>
        <v>1333626.9547915568</v>
      </c>
      <c r="Y22" s="158">
        <f t="shared" si="37"/>
        <v>1964604.405854343</v>
      </c>
      <c r="Z22" s="158">
        <f t="shared" si="37"/>
        <v>2244078.6208653348</v>
      </c>
      <c r="AA22" s="158">
        <f t="shared" si="37"/>
        <v>1840184.8852555393</v>
      </c>
      <c r="AB22" s="158">
        <f t="shared" si="37"/>
        <v>1472729.787434998</v>
      </c>
      <c r="AC22" s="158">
        <f t="shared" si="37"/>
        <v>850695.5112525631</v>
      </c>
      <c r="AD22" s="158">
        <f t="shared" si="37"/>
        <v>471094.20083560393</v>
      </c>
      <c r="AE22" s="158">
        <f t="shared" si="37"/>
        <v>282803.90635022841</v>
      </c>
      <c r="AF22" s="143">
        <f>SUM(T22:AE22)</f>
        <v>12182734.306138262</v>
      </c>
      <c r="AG22" s="133">
        <v>1.04</v>
      </c>
      <c r="AH22" s="155">
        <v>0.05</v>
      </c>
      <c r="AI22" s="10" t="s">
        <v>406</v>
      </c>
      <c r="AJ22" s="158">
        <f>AJ52*$A$22/(1-$AH$22)</f>
        <v>294062.5931958952</v>
      </c>
      <c r="AK22" s="158">
        <f t="shared" ref="AK22:AU22" si="38">AK52*$A$22/(1-$AH$22)</f>
        <v>294062.5931958952</v>
      </c>
      <c r="AL22" s="158">
        <f t="shared" si="38"/>
        <v>345408.14923479193</v>
      </c>
      <c r="AM22" s="158">
        <f t="shared" si="38"/>
        <v>800991.31104581302</v>
      </c>
      <c r="AN22" s="158">
        <f t="shared" si="38"/>
        <v>1343494.4692681853</v>
      </c>
      <c r="AO22" s="158">
        <f t="shared" si="38"/>
        <v>1979318.9529813996</v>
      </c>
      <c r="AP22" s="158">
        <f t="shared" si="38"/>
        <v>2260946.0184535761</v>
      </c>
      <c r="AQ22" s="158">
        <f t="shared" si="38"/>
        <v>1853981.5721496912</v>
      </c>
      <c r="AR22" s="158">
        <f t="shared" si="38"/>
        <v>1483655.317750369</v>
      </c>
      <c r="AS22" s="158">
        <f t="shared" si="38"/>
        <v>856842.90013226459</v>
      </c>
      <c r="AT22" s="158">
        <f t="shared" si="38"/>
        <v>474303.91509808815</v>
      </c>
      <c r="AU22" s="158">
        <f t="shared" si="38"/>
        <v>284576.70309280179</v>
      </c>
      <c r="AV22" s="143">
        <f>SUM(AJ22:AU22)</f>
        <v>12271644.495598773</v>
      </c>
    </row>
    <row r="23" spans="1:48">
      <c r="A23" s="143">
        <f>(A52*$A$22)/(1-$B$22)</f>
        <v>9374.314990038165</v>
      </c>
      <c r="B23" s="143">
        <f>(B52*$A$22)/(1-$B$22)</f>
        <v>2612.5706242247188</v>
      </c>
      <c r="C23" s="10" t="s">
        <v>646</v>
      </c>
      <c r="D23" s="158">
        <f>D22</f>
        <v>290603.76469118305</v>
      </c>
      <c r="E23" s="158">
        <f>D23+E22</f>
        <v>581207.5293823661</v>
      </c>
      <c r="F23" s="158">
        <f t="shared" ref="F23:O23" si="39">E23+F22</f>
        <v>922395.47490946832</v>
      </c>
      <c r="G23" s="158">
        <f t="shared" si="39"/>
        <v>1712653.3714836291</v>
      </c>
      <c r="H23" s="158">
        <f t="shared" si="39"/>
        <v>3037604.7855625493</v>
      </c>
      <c r="I23" s="158">
        <f t="shared" si="39"/>
        <v>4989280.9531358089</v>
      </c>
      <c r="J23" s="158">
        <f t="shared" si="39"/>
        <v>7218542.7495329455</v>
      </c>
      <c r="K23" s="158">
        <f t="shared" si="39"/>
        <v>9046606.5158206765</v>
      </c>
      <c r="L23" s="158">
        <f t="shared" si="39"/>
        <v>10509731.976663914</v>
      </c>
      <c r="M23" s="158">
        <f t="shared" si="39"/>
        <v>11355015.424135175</v>
      </c>
      <c r="N23" s="158">
        <f t="shared" si="39"/>
        <v>11823273.991273638</v>
      </c>
      <c r="O23" s="158">
        <f t="shared" si="39"/>
        <v>12104503.440974783</v>
      </c>
      <c r="P23" s="28"/>
      <c r="Q23" s="143">
        <f>(Q52*$Q$22)/(1-$R$22)</f>
        <v>9426.7968783409488</v>
      </c>
      <c r="R23" s="143">
        <f>(R52*$Q$22)/(1-$R$22)</f>
        <v>2630.3455530446263</v>
      </c>
      <c r="S23" s="10" t="s">
        <v>646</v>
      </c>
      <c r="T23" s="158">
        <f>T22</f>
        <v>292230.7032285693</v>
      </c>
      <c r="U23" s="158">
        <f>T23+U22</f>
        <v>584461.4064571386</v>
      </c>
      <c r="V23" s="158">
        <f t="shared" ref="V23:AE23" si="40">U23+V22</f>
        <v>927631.74324974115</v>
      </c>
      <c r="W23" s="158">
        <f t="shared" si="40"/>
        <v>1722916.0334980953</v>
      </c>
      <c r="X23" s="158">
        <f t="shared" si="40"/>
        <v>3056542.9882896524</v>
      </c>
      <c r="Y23" s="158">
        <f t="shared" si="40"/>
        <v>5021147.3941439949</v>
      </c>
      <c r="Z23" s="158">
        <f t="shared" si="40"/>
        <v>7265226.0150093297</v>
      </c>
      <c r="AA23" s="158">
        <f t="shared" si="40"/>
        <v>9105410.9002648685</v>
      </c>
      <c r="AB23" s="158">
        <f t="shared" si="40"/>
        <v>10578140.687699866</v>
      </c>
      <c r="AC23" s="158">
        <f t="shared" si="40"/>
        <v>11428836.198952429</v>
      </c>
      <c r="AD23" s="158">
        <f t="shared" si="40"/>
        <v>11899930.399788033</v>
      </c>
      <c r="AE23" s="158">
        <f t="shared" si="40"/>
        <v>12182734.306138262</v>
      </c>
      <c r="AF23" s="59"/>
      <c r="AG23" s="143">
        <f>(AG52*$AG$22)/(1-$AH$22)</f>
        <v>9489.3180806324162</v>
      </c>
      <c r="AH23" s="143">
        <f>(AH52*$AG$22)/(1-$AH$22)</f>
        <v>2651.5498449701313</v>
      </c>
      <c r="AI23" s="10" t="s">
        <v>646</v>
      </c>
      <c r="AJ23" s="158">
        <f>AJ22</f>
        <v>294062.5931958952</v>
      </c>
      <c r="AK23" s="158">
        <f>AJ23+AK22</f>
        <v>588125.1863917904</v>
      </c>
      <c r="AL23" s="158">
        <f t="shared" ref="AL23:AU23" si="41">AK23+AL22</f>
        <v>933533.33562658238</v>
      </c>
      <c r="AM23" s="158">
        <f t="shared" si="41"/>
        <v>1734524.6466723955</v>
      </c>
      <c r="AN23" s="158">
        <f t="shared" si="41"/>
        <v>3078019.1159405811</v>
      </c>
      <c r="AO23" s="158">
        <f t="shared" si="41"/>
        <v>5057338.0689219804</v>
      </c>
      <c r="AP23" s="158">
        <f t="shared" si="41"/>
        <v>7318284.0873755571</v>
      </c>
      <c r="AQ23" s="158">
        <f t="shared" si="41"/>
        <v>9172265.6595252492</v>
      </c>
      <c r="AR23" s="158">
        <f t="shared" si="41"/>
        <v>10655920.977275617</v>
      </c>
      <c r="AS23" s="158">
        <f t="shared" si="41"/>
        <v>11512763.877407882</v>
      </c>
      <c r="AT23" s="158">
        <f t="shared" si="41"/>
        <v>11987067.79250597</v>
      </c>
      <c r="AU23" s="158">
        <f t="shared" si="41"/>
        <v>12271644.495598773</v>
      </c>
      <c r="AV23" s="59"/>
    </row>
    <row r="24" spans="1:48">
      <c r="B24" s="155">
        <v>2.5000000000000001E-2</v>
      </c>
      <c r="C24" s="10" t="s">
        <v>407</v>
      </c>
      <c r="D24" s="158">
        <f>D62*$A$22/(1-$B$24)</f>
        <v>235093.33333333334</v>
      </c>
      <c r="E24" s="158">
        <f t="shared" ref="E24:O24" si="42">E62*$A$22/(1-$B$24)</f>
        <v>228266.66666666669</v>
      </c>
      <c r="F24" s="158">
        <f t="shared" si="42"/>
        <v>209813.33333333334</v>
      </c>
      <c r="G24" s="158">
        <f t="shared" si="42"/>
        <v>316373.33333333331</v>
      </c>
      <c r="H24" s="158">
        <f t="shared" si="42"/>
        <v>328000</v>
      </c>
      <c r="I24" s="158">
        <f t="shared" si="42"/>
        <v>396480</v>
      </c>
      <c r="J24" s="158">
        <f t="shared" si="42"/>
        <v>408640</v>
      </c>
      <c r="K24" s="158">
        <f t="shared" si="42"/>
        <v>355520</v>
      </c>
      <c r="L24" s="158">
        <f t="shared" si="42"/>
        <v>321280</v>
      </c>
      <c r="M24" s="158">
        <f t="shared" si="42"/>
        <v>308480</v>
      </c>
      <c r="N24" s="158">
        <f t="shared" si="42"/>
        <v>247253.33333333334</v>
      </c>
      <c r="O24" s="158">
        <f t="shared" si="42"/>
        <v>219520</v>
      </c>
      <c r="P24" s="143">
        <f>SUM(D24:O24)</f>
        <v>3574720.0000000005</v>
      </c>
      <c r="R24" s="155">
        <v>2.5000000000000001E-2</v>
      </c>
      <c r="S24" s="10" t="s">
        <v>407</v>
      </c>
      <c r="T24" s="158">
        <f>T62*$Q$22/(1-$R$24)</f>
        <v>237013.33333333334</v>
      </c>
      <c r="U24" s="158">
        <f>U62*$Q$22/(1-$R$24)</f>
        <v>226133.33333333334</v>
      </c>
      <c r="V24" s="158">
        <f t="shared" ref="V24:AE24" si="43">V62*$Q$22/(1-$R$24)</f>
        <v>205226.66666666666</v>
      </c>
      <c r="W24" s="158">
        <f t="shared" si="43"/>
        <v>328746.66666666669</v>
      </c>
      <c r="X24" s="158">
        <f t="shared" si="43"/>
        <v>335573.33333333331</v>
      </c>
      <c r="Y24" s="158">
        <f t="shared" si="43"/>
        <v>406506.66666666669</v>
      </c>
      <c r="Z24" s="158">
        <f t="shared" si="43"/>
        <v>419733.33333333331</v>
      </c>
      <c r="AA24" s="158">
        <f t="shared" si="43"/>
        <v>372053.33333333331</v>
      </c>
      <c r="AB24" s="158">
        <f t="shared" si="43"/>
        <v>336853.33333333331</v>
      </c>
      <c r="AC24" s="158">
        <f t="shared" si="43"/>
        <v>318933.33333333331</v>
      </c>
      <c r="AD24" s="158">
        <f t="shared" si="43"/>
        <v>261013.33333333334</v>
      </c>
      <c r="AE24" s="158">
        <f t="shared" si="43"/>
        <v>226986.66666666669</v>
      </c>
      <c r="AF24" s="59">
        <f>SUM(T24:AE24)</f>
        <v>3674773.333333334</v>
      </c>
      <c r="AH24" s="155">
        <v>2.5000000000000001E-2</v>
      </c>
      <c r="AI24" s="10" t="s">
        <v>407</v>
      </c>
      <c r="AJ24" s="158">
        <f>AJ62*$AG$22/(1-$AH$24)</f>
        <v>242400</v>
      </c>
      <c r="AK24" s="158">
        <f t="shared" ref="AK24:AU24" si="44">AK62*$AG$22/(1-$AH$24)</f>
        <v>231520</v>
      </c>
      <c r="AL24" s="158">
        <f t="shared" si="44"/>
        <v>210666.66666666666</v>
      </c>
      <c r="AM24" s="158">
        <f t="shared" si="44"/>
        <v>335360</v>
      </c>
      <c r="AN24" s="158">
        <f t="shared" si="44"/>
        <v>346666.66666666669</v>
      </c>
      <c r="AO24" s="158">
        <f t="shared" si="44"/>
        <v>416746.66666666669</v>
      </c>
      <c r="AP24" s="158">
        <f t="shared" si="44"/>
        <v>430080</v>
      </c>
      <c r="AQ24" s="158">
        <f t="shared" si="44"/>
        <v>377920</v>
      </c>
      <c r="AR24" s="158">
        <f t="shared" si="44"/>
        <v>344853.33333333331</v>
      </c>
      <c r="AS24" s="158">
        <f t="shared" si="44"/>
        <v>326720</v>
      </c>
      <c r="AT24" s="158">
        <f t="shared" si="44"/>
        <v>266453.33333333331</v>
      </c>
      <c r="AU24" s="158">
        <f t="shared" si="44"/>
        <v>232426.66666666669</v>
      </c>
      <c r="AV24" s="59">
        <f>SUM(AJ24:AU24)</f>
        <v>3761813.3333333335</v>
      </c>
    </row>
    <row r="25" spans="1:48">
      <c r="A25" s="143">
        <f>(A63*$A$22)/(1-$B$24)</f>
        <v>8090.666666666667</v>
      </c>
      <c r="B25" s="143">
        <f>(B63*$A$22)/(1-$B$24)</f>
        <v>252.8</v>
      </c>
      <c r="C25" s="10" t="s">
        <v>647</v>
      </c>
      <c r="D25" s="158">
        <f>D24</f>
        <v>235093.33333333334</v>
      </c>
      <c r="E25" s="158">
        <f>D25+E24</f>
        <v>463360</v>
      </c>
      <c r="F25" s="158">
        <f t="shared" ref="F25:O25" si="45">E25+F24</f>
        <v>673173.33333333337</v>
      </c>
      <c r="G25" s="158">
        <f t="shared" si="45"/>
        <v>989546.66666666674</v>
      </c>
      <c r="H25" s="158">
        <f t="shared" si="45"/>
        <v>1317546.6666666667</v>
      </c>
      <c r="I25" s="158">
        <f t="shared" si="45"/>
        <v>1714026.6666666667</v>
      </c>
      <c r="J25" s="158">
        <f t="shared" si="45"/>
        <v>2122666.666666667</v>
      </c>
      <c r="K25" s="158">
        <f t="shared" si="45"/>
        <v>2478186.666666667</v>
      </c>
      <c r="L25" s="158">
        <f t="shared" si="45"/>
        <v>2799466.666666667</v>
      </c>
      <c r="M25" s="158">
        <f t="shared" si="45"/>
        <v>3107946.666666667</v>
      </c>
      <c r="N25" s="158">
        <f t="shared" si="45"/>
        <v>3355200.0000000005</v>
      </c>
      <c r="O25" s="158">
        <f t="shared" si="45"/>
        <v>3574720.0000000005</v>
      </c>
      <c r="P25" s="59"/>
      <c r="Q25" s="143">
        <f>(Q64*$Q$22)/(1-$R$24)</f>
        <v>8090.666666666667</v>
      </c>
      <c r="R25" s="143">
        <f>(R64*$Q$22)/(1-$R$24)</f>
        <v>252.8</v>
      </c>
      <c r="S25" s="10" t="s">
        <v>647</v>
      </c>
      <c r="T25" s="158">
        <f>T24</f>
        <v>237013.33333333334</v>
      </c>
      <c r="U25" s="158">
        <f>T25+U24</f>
        <v>463146.66666666669</v>
      </c>
      <c r="V25" s="158">
        <f t="shared" ref="V25:AE25" si="46">U25+V24</f>
        <v>668373.33333333337</v>
      </c>
      <c r="W25" s="158">
        <f t="shared" si="46"/>
        <v>997120</v>
      </c>
      <c r="X25" s="158">
        <f t="shared" si="46"/>
        <v>1332693.3333333333</v>
      </c>
      <c r="Y25" s="158">
        <f t="shared" si="46"/>
        <v>1739200</v>
      </c>
      <c r="Z25" s="158">
        <f t="shared" si="46"/>
        <v>2158933.3333333335</v>
      </c>
      <c r="AA25" s="158">
        <f t="shared" si="46"/>
        <v>2530986.666666667</v>
      </c>
      <c r="AB25" s="158">
        <f t="shared" si="46"/>
        <v>2867840.0000000005</v>
      </c>
      <c r="AC25" s="158">
        <f t="shared" si="46"/>
        <v>3186773.333333334</v>
      </c>
      <c r="AD25" s="158">
        <f t="shared" si="46"/>
        <v>3447786.6666666674</v>
      </c>
      <c r="AE25" s="158">
        <f t="shared" si="46"/>
        <v>3674773.333333334</v>
      </c>
      <c r="AF25" s="59"/>
      <c r="AG25" s="143">
        <f>(AG64*$Q$22)/(1-$R$24)</f>
        <v>8090.666666666667</v>
      </c>
      <c r="AH25" s="143">
        <f>(AH64*$Q$22)/(1-$R$24)</f>
        <v>252.8</v>
      </c>
      <c r="AI25" s="10" t="s">
        <v>647</v>
      </c>
      <c r="AJ25" s="158">
        <f>AJ24</f>
        <v>242400</v>
      </c>
      <c r="AK25" s="158">
        <f>AJ25+AK24</f>
        <v>473920</v>
      </c>
      <c r="AL25" s="158">
        <f t="shared" ref="AL25:AU25" si="47">AK25+AL24</f>
        <v>684586.66666666663</v>
      </c>
      <c r="AM25" s="158">
        <f t="shared" si="47"/>
        <v>1019946.6666666666</v>
      </c>
      <c r="AN25" s="158">
        <f t="shared" si="47"/>
        <v>1366613.3333333333</v>
      </c>
      <c r="AO25" s="158">
        <f t="shared" si="47"/>
        <v>1783360</v>
      </c>
      <c r="AP25" s="158">
        <f t="shared" si="47"/>
        <v>2213440</v>
      </c>
      <c r="AQ25" s="158">
        <f t="shared" si="47"/>
        <v>2591360</v>
      </c>
      <c r="AR25" s="158">
        <f t="shared" si="47"/>
        <v>2936213.3333333335</v>
      </c>
      <c r="AS25" s="158">
        <f t="shared" si="47"/>
        <v>3262933.3333333335</v>
      </c>
      <c r="AT25" s="158">
        <f t="shared" si="47"/>
        <v>3529386.666666667</v>
      </c>
      <c r="AU25" s="158">
        <f t="shared" si="47"/>
        <v>3761813.3333333335</v>
      </c>
      <c r="AV25" s="59"/>
    </row>
    <row r="26" spans="1:48">
      <c r="A26" s="22">
        <f>A27+(55*B27)</f>
        <v>175060.36598906436</v>
      </c>
      <c r="C26" s="10" t="s">
        <v>412</v>
      </c>
      <c r="D26" s="241">
        <f>SUM(D22,D24)</f>
        <v>525697.09802451637</v>
      </c>
      <c r="E26" s="241">
        <f t="shared" ref="E26:O26" si="48">SUM(E22,E24)</f>
        <v>518870.43135784974</v>
      </c>
      <c r="F26" s="241">
        <f t="shared" si="48"/>
        <v>551001.27886043559</v>
      </c>
      <c r="G26" s="241">
        <f t="shared" si="48"/>
        <v>1106631.229907494</v>
      </c>
      <c r="H26" s="241">
        <f t="shared" si="48"/>
        <v>1652951.4140789201</v>
      </c>
      <c r="I26" s="241">
        <f t="shared" si="48"/>
        <v>2348156.1675732592</v>
      </c>
      <c r="J26" s="241">
        <f t="shared" si="48"/>
        <v>2637901.7963971361</v>
      </c>
      <c r="K26" s="241">
        <f t="shared" si="48"/>
        <v>2183583.7662877319</v>
      </c>
      <c r="L26" s="241">
        <f t="shared" si="48"/>
        <v>1784405.4608432373</v>
      </c>
      <c r="M26" s="241">
        <f t="shared" si="48"/>
        <v>1153763.447471262</v>
      </c>
      <c r="N26" s="241">
        <f t="shared" si="48"/>
        <v>715511.90047179721</v>
      </c>
      <c r="O26" s="241">
        <f t="shared" si="48"/>
        <v>500749.44970114488</v>
      </c>
      <c r="P26" s="143">
        <f>SUM(D26:O26)</f>
        <v>15679223.440974785</v>
      </c>
      <c r="Q26" s="22">
        <f>Q27+(55*R27)</f>
        <v>176090.4689624621</v>
      </c>
      <c r="S26" s="10" t="s">
        <v>412</v>
      </c>
      <c r="T26" s="158">
        <f>SUM(T22,T24)</f>
        <v>529244.03656190261</v>
      </c>
      <c r="U26" s="158">
        <f t="shared" ref="U26:AE26" si="49">SUM(U22,U24)</f>
        <v>518364.03656190261</v>
      </c>
      <c r="V26" s="158">
        <f t="shared" si="49"/>
        <v>548397.00345926918</v>
      </c>
      <c r="W26" s="158">
        <f t="shared" si="49"/>
        <v>1124030.9569150209</v>
      </c>
      <c r="X26" s="158">
        <f t="shared" si="49"/>
        <v>1669200.2881248901</v>
      </c>
      <c r="Y26" s="158">
        <f t="shared" si="49"/>
        <v>2371111.0725210095</v>
      </c>
      <c r="Z26" s="158">
        <f t="shared" si="49"/>
        <v>2663811.9541986682</v>
      </c>
      <c r="AA26" s="158">
        <f>SUM(AA22,AA24)</f>
        <v>2212238.2185888728</v>
      </c>
      <c r="AB26" s="158">
        <f t="shared" si="49"/>
        <v>1809583.1207683312</v>
      </c>
      <c r="AC26" s="158">
        <f t="shared" si="49"/>
        <v>1169628.8445858965</v>
      </c>
      <c r="AD26" s="158">
        <f t="shared" si="49"/>
        <v>732107.53416893724</v>
      </c>
      <c r="AE26" s="158">
        <f t="shared" si="49"/>
        <v>509790.5730168951</v>
      </c>
      <c r="AF26" s="59">
        <f>SUM(T26:AE26)</f>
        <v>15857507.639471592</v>
      </c>
      <c r="AG26" s="22">
        <f>AG27+(55*AH27)</f>
        <v>177319.2262206563</v>
      </c>
      <c r="AI26" s="10" t="s">
        <v>412</v>
      </c>
      <c r="AJ26" s="158">
        <f>SUM(AJ22,AJ24)</f>
        <v>536462.5931958952</v>
      </c>
      <c r="AK26" s="158">
        <f t="shared" ref="AK26:AU26" si="50">SUM(AK22,AK24)</f>
        <v>525582.5931958952</v>
      </c>
      <c r="AL26" s="158">
        <f t="shared" si="50"/>
        <v>556074.81590145861</v>
      </c>
      <c r="AM26" s="158">
        <f t="shared" si="50"/>
        <v>1136351.3110458129</v>
      </c>
      <c r="AN26" s="158">
        <f t="shared" si="50"/>
        <v>1690161.1359348521</v>
      </c>
      <c r="AO26" s="158">
        <f t="shared" si="50"/>
        <v>2396065.6196480663</v>
      </c>
      <c r="AP26" s="158">
        <f t="shared" si="50"/>
        <v>2691026.0184535761</v>
      </c>
      <c r="AQ26" s="158">
        <f t="shared" si="50"/>
        <v>2231901.5721496912</v>
      </c>
      <c r="AR26" s="158">
        <f t="shared" si="50"/>
        <v>1828508.6510837022</v>
      </c>
      <c r="AS26" s="158">
        <f t="shared" si="50"/>
        <v>1183562.9001322645</v>
      </c>
      <c r="AT26" s="158">
        <f t="shared" si="50"/>
        <v>740757.24843142147</v>
      </c>
      <c r="AU26" s="158">
        <f t="shared" si="50"/>
        <v>517003.36975946848</v>
      </c>
      <c r="AV26" s="59">
        <f>SUM(AJ26:AU26)</f>
        <v>16033457.828932106</v>
      </c>
    </row>
    <row r="27" spans="1:48">
      <c r="A27" s="143">
        <f>SUM(A23,A25)</f>
        <v>17464.981656704833</v>
      </c>
      <c r="B27" s="143">
        <f>SUM(B23,B25)</f>
        <v>2865.370624224719</v>
      </c>
      <c r="C27" s="10" t="s">
        <v>648</v>
      </c>
      <c r="D27" s="158">
        <f>D26</f>
        <v>525697.09802451637</v>
      </c>
      <c r="E27" s="158">
        <f>D27+E26</f>
        <v>1044567.5293823661</v>
      </c>
      <c r="F27" s="158">
        <f t="shared" ref="F27:O27" si="51">E27+F26</f>
        <v>1595568.8082428016</v>
      </c>
      <c r="G27" s="158">
        <f t="shared" si="51"/>
        <v>2702200.0381502956</v>
      </c>
      <c r="H27" s="158">
        <f t="shared" si="51"/>
        <v>4355151.4522292158</v>
      </c>
      <c r="I27" s="158">
        <f t="shared" si="51"/>
        <v>6703307.619802475</v>
      </c>
      <c r="J27" s="158">
        <f t="shared" si="51"/>
        <v>9341209.4161996115</v>
      </c>
      <c r="K27" s="158">
        <f t="shared" si="51"/>
        <v>11524793.182487343</v>
      </c>
      <c r="L27" s="158">
        <f t="shared" si="51"/>
        <v>13309198.64333058</v>
      </c>
      <c r="M27" s="158">
        <f t="shared" si="51"/>
        <v>14462962.090801843</v>
      </c>
      <c r="N27" s="158">
        <f t="shared" si="51"/>
        <v>15178473.99127364</v>
      </c>
      <c r="O27" s="158">
        <f t="shared" si="51"/>
        <v>15679223.440974785</v>
      </c>
      <c r="P27" s="59"/>
      <c r="Q27" s="27">
        <f>SUM(Q23,Q25)</f>
        <v>17517.463545007617</v>
      </c>
      <c r="R27" s="27">
        <f>SUM(R23,R25)</f>
        <v>2883.1455530446265</v>
      </c>
      <c r="S27" s="10" t="s">
        <v>648</v>
      </c>
      <c r="T27" s="158">
        <f>T26</f>
        <v>529244.03656190261</v>
      </c>
      <c r="U27" s="158">
        <f>T27+U26</f>
        <v>1047608.0731238052</v>
      </c>
      <c r="V27" s="158">
        <f t="shared" ref="V27:AE27" si="52">U27+V26</f>
        <v>1596005.0765830744</v>
      </c>
      <c r="W27" s="158">
        <f t="shared" si="52"/>
        <v>2720036.0334980953</v>
      </c>
      <c r="X27" s="158">
        <f t="shared" si="52"/>
        <v>4389236.3216229854</v>
      </c>
      <c r="Y27" s="158">
        <f t="shared" si="52"/>
        <v>6760347.3941439949</v>
      </c>
      <c r="Z27" s="158">
        <f t="shared" si="52"/>
        <v>9424159.3483426627</v>
      </c>
      <c r="AA27" s="158">
        <f t="shared" si="52"/>
        <v>11636397.566931535</v>
      </c>
      <c r="AB27" s="158">
        <f t="shared" si="52"/>
        <v>13445980.687699866</v>
      </c>
      <c r="AC27" s="158">
        <f t="shared" si="52"/>
        <v>14615609.532285761</v>
      </c>
      <c r="AD27" s="158">
        <f t="shared" si="52"/>
        <v>15347717.066454697</v>
      </c>
      <c r="AE27" s="158">
        <f t="shared" si="52"/>
        <v>15857507.639471592</v>
      </c>
      <c r="AF27" s="59"/>
      <c r="AG27" s="27">
        <f>SUM(AG23,AG25)</f>
        <v>17579.984747299084</v>
      </c>
      <c r="AH27" s="27">
        <f>SUM(AH23,AH25)</f>
        <v>2904.3498449701315</v>
      </c>
      <c r="AI27" s="10" t="s">
        <v>648</v>
      </c>
      <c r="AJ27" s="158">
        <f>AJ26</f>
        <v>536462.5931958952</v>
      </c>
      <c r="AK27" s="158">
        <f>AJ27+AK26</f>
        <v>1062045.1863917904</v>
      </c>
      <c r="AL27" s="158">
        <f t="shared" ref="AL27:AU27" si="53">AK27+AL26</f>
        <v>1618120.0022932491</v>
      </c>
      <c r="AM27" s="158">
        <f t="shared" si="53"/>
        <v>2754471.313339062</v>
      </c>
      <c r="AN27" s="158">
        <f t="shared" si="53"/>
        <v>4444632.4492739141</v>
      </c>
      <c r="AO27" s="158">
        <f t="shared" si="53"/>
        <v>6840698.0689219804</v>
      </c>
      <c r="AP27" s="158">
        <f t="shared" si="53"/>
        <v>9531724.0873755571</v>
      </c>
      <c r="AQ27" s="158">
        <f t="shared" si="53"/>
        <v>11763625.659525249</v>
      </c>
      <c r="AR27" s="158">
        <f t="shared" si="53"/>
        <v>13592134.310608951</v>
      </c>
      <c r="AS27" s="158">
        <f t="shared" si="53"/>
        <v>14775697.210741216</v>
      </c>
      <c r="AT27" s="158">
        <f t="shared" si="53"/>
        <v>15516454.459172638</v>
      </c>
      <c r="AU27" s="158">
        <f t="shared" si="53"/>
        <v>16033457.828932106</v>
      </c>
      <c r="AV27" s="59"/>
    </row>
    <row r="28" spans="1:48">
      <c r="A28" s="27">
        <v>17871</v>
      </c>
      <c r="B28" s="27">
        <v>3004</v>
      </c>
      <c r="C28" s="22" t="s">
        <v>546</v>
      </c>
      <c r="D28" s="195">
        <v>489092</v>
      </c>
      <c r="E28" s="195">
        <v>523045.3</v>
      </c>
      <c r="F28" s="195">
        <v>522239</v>
      </c>
      <c r="G28" s="288">
        <v>837221.1</v>
      </c>
      <c r="H28" s="195">
        <v>1566775</v>
      </c>
      <c r="I28" s="288">
        <v>3338002.9</v>
      </c>
      <c r="J28" s="288">
        <v>3326909</v>
      </c>
      <c r="K28" s="288">
        <v>2043492</v>
      </c>
      <c r="L28" s="288">
        <v>1794438.6</v>
      </c>
      <c r="M28" s="288">
        <v>970040</v>
      </c>
      <c r="N28" s="195">
        <v>643661</v>
      </c>
      <c r="O28" s="388">
        <v>516284</v>
      </c>
      <c r="P28" s="151"/>
      <c r="Q28" s="22"/>
      <c r="S28" s="22" t="s">
        <v>546</v>
      </c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151"/>
      <c r="AG28" s="22"/>
      <c r="AI28" s="22" t="s">
        <v>546</v>
      </c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151"/>
    </row>
    <row r="29" spans="1:48" s="24" customFormat="1">
      <c r="A29" s="22">
        <f>A28+(B28*55)</f>
        <v>183091</v>
      </c>
      <c r="B29" s="28"/>
      <c r="C29" s="22" t="s">
        <v>649</v>
      </c>
      <c r="D29" s="28">
        <f>D28</f>
        <v>489092</v>
      </c>
      <c r="E29" s="28">
        <f t="shared" ref="E29:O29" si="54">D29+E28</f>
        <v>1012137.3</v>
      </c>
      <c r="F29" s="28">
        <f t="shared" si="54"/>
        <v>1534376.3</v>
      </c>
      <c r="G29" s="28">
        <f t="shared" si="54"/>
        <v>2371597.4</v>
      </c>
      <c r="H29" s="28">
        <f t="shared" si="54"/>
        <v>3938372.4</v>
      </c>
      <c r="I29" s="163">
        <f t="shared" si="54"/>
        <v>7276375.2999999998</v>
      </c>
      <c r="J29" s="163">
        <f t="shared" si="54"/>
        <v>10603284.300000001</v>
      </c>
      <c r="K29" s="163">
        <f t="shared" si="54"/>
        <v>12646776.300000001</v>
      </c>
      <c r="L29" s="163">
        <f t="shared" si="54"/>
        <v>14441214.9</v>
      </c>
      <c r="M29" s="163">
        <f t="shared" si="54"/>
        <v>15411254.9</v>
      </c>
      <c r="N29" s="163">
        <f t="shared" si="54"/>
        <v>16054915.9</v>
      </c>
      <c r="O29" s="163">
        <f t="shared" si="54"/>
        <v>16571199.9</v>
      </c>
      <c r="P29" s="302">
        <f>8.5/19</f>
        <v>0.44736842105263158</v>
      </c>
      <c r="Q29" s="28"/>
      <c r="S29" s="22" t="s">
        <v>649</v>
      </c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184"/>
      <c r="AG29" s="28"/>
      <c r="AI29" s="22" t="s">
        <v>649</v>
      </c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184"/>
    </row>
    <row r="30" spans="1:48" s="24" customFormat="1">
      <c r="A30" s="107">
        <f>A26-A29</f>
        <v>-8030.6340109356388</v>
      </c>
      <c r="B30" s="28"/>
      <c r="C30" s="28" t="s">
        <v>544</v>
      </c>
      <c r="D30" s="107">
        <f t="shared" ref="D30:M30" si="55">D28-D26</f>
        <v>-36605.098024516366</v>
      </c>
      <c r="E30" s="107">
        <f t="shared" si="55"/>
        <v>4174.8686421502498</v>
      </c>
      <c r="F30" s="107">
        <f t="shared" si="55"/>
        <v>-28762.278860435588</v>
      </c>
      <c r="G30" s="107">
        <f t="shared" si="55"/>
        <v>-269410.12990749406</v>
      </c>
      <c r="H30" s="107">
        <f t="shared" si="55"/>
        <v>-86176.414078920148</v>
      </c>
      <c r="I30" s="101">
        <f t="shared" si="55"/>
        <v>989846.73242674069</v>
      </c>
      <c r="J30" s="101">
        <f t="shared" si="55"/>
        <v>689007.20360286394</v>
      </c>
      <c r="K30" s="101">
        <f t="shared" si="55"/>
        <v>-140091.76628773194</v>
      </c>
      <c r="L30" s="101">
        <f t="shared" si="55"/>
        <v>10033.139156762743</v>
      </c>
      <c r="M30" s="101">
        <f t="shared" si="55"/>
        <v>-183723.44747126196</v>
      </c>
      <c r="N30" s="107">
        <f>N28-N26</f>
        <v>-71850.900471797213</v>
      </c>
      <c r="O30" s="107">
        <f>O28-O26</f>
        <v>15534.550298855116</v>
      </c>
      <c r="P30" s="184"/>
      <c r="Q30" s="28"/>
      <c r="S30" s="28" t="s">
        <v>544</v>
      </c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184"/>
      <c r="AG30" s="28"/>
      <c r="AI30" s="28" t="s">
        <v>544</v>
      </c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184"/>
    </row>
    <row r="31" spans="1:48" s="24" customFormat="1">
      <c r="A31" s="13" t="s">
        <v>86</v>
      </c>
      <c r="B31" s="131" t="s">
        <v>87</v>
      </c>
      <c r="C31" s="28" t="s">
        <v>545</v>
      </c>
      <c r="D31" s="128">
        <f t="shared" ref="D31:M31" si="56">D30/D26</f>
        <v>-6.9631539078439525E-2</v>
      </c>
      <c r="E31" s="128">
        <f t="shared" si="56"/>
        <v>8.0460716006207824E-3</v>
      </c>
      <c r="F31" s="128">
        <f t="shared" si="56"/>
        <v>-5.2200021967137494E-2</v>
      </c>
      <c r="G31" s="128">
        <f t="shared" si="56"/>
        <v>-0.24345068404586295</v>
      </c>
      <c r="H31" s="128">
        <f t="shared" si="56"/>
        <v>-5.2134874228557122E-2</v>
      </c>
      <c r="I31" s="298">
        <f t="shared" si="56"/>
        <v>0.42154212147214815</v>
      </c>
      <c r="J31" s="298">
        <f t="shared" si="56"/>
        <v>0.26119516827499589</v>
      </c>
      <c r="K31" s="298">
        <f t="shared" si="56"/>
        <v>-6.4156808843609969E-2</v>
      </c>
      <c r="L31" s="298">
        <f t="shared" si="56"/>
        <v>5.6226790249910416E-3</v>
      </c>
      <c r="M31" s="298">
        <f t="shared" si="56"/>
        <v>-0.15923840183525848</v>
      </c>
      <c r="N31" s="128">
        <f>N30/N26</f>
        <v>-0.10041887552732508</v>
      </c>
      <c r="O31" s="128">
        <f>O30/O26</f>
        <v>3.1022600839853903E-2</v>
      </c>
      <c r="P31" s="184"/>
      <c r="Q31" s="28"/>
      <c r="S31" s="28" t="s">
        <v>545</v>
      </c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184"/>
      <c r="AG31" s="28"/>
      <c r="AI31" s="28" t="s">
        <v>545</v>
      </c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184"/>
    </row>
    <row r="32" spans="1:48" s="24" customFormat="1">
      <c r="A32" s="22"/>
      <c r="B32" s="28"/>
      <c r="C32" s="28" t="s">
        <v>650</v>
      </c>
      <c r="D32" s="107">
        <f>D30</f>
        <v>-36605.098024516366</v>
      </c>
      <c r="E32" s="107">
        <f t="shared" ref="E32:M32" si="57">D32+E30</f>
        <v>-32430.229382366117</v>
      </c>
      <c r="F32" s="107">
        <f t="shared" si="57"/>
        <v>-61192.508242801705</v>
      </c>
      <c r="G32" s="107">
        <f t="shared" si="57"/>
        <v>-330602.63815029577</v>
      </c>
      <c r="H32" s="107">
        <f t="shared" si="57"/>
        <v>-416779.05222921591</v>
      </c>
      <c r="I32" s="101">
        <f t="shared" si="57"/>
        <v>573067.68019752484</v>
      </c>
      <c r="J32" s="101">
        <f t="shared" si="57"/>
        <v>1262074.8838003888</v>
      </c>
      <c r="K32" s="101">
        <f t="shared" si="57"/>
        <v>1121983.1175126568</v>
      </c>
      <c r="L32" s="101">
        <f t="shared" si="57"/>
        <v>1132016.2566694196</v>
      </c>
      <c r="M32" s="101">
        <f t="shared" si="57"/>
        <v>948292.80919815763</v>
      </c>
      <c r="N32" s="107">
        <f>M32+N30</f>
        <v>876441.90872636042</v>
      </c>
      <c r="O32" s="107">
        <f>N32+O30</f>
        <v>891976.45902521559</v>
      </c>
      <c r="P32" s="184"/>
      <c r="Q32" s="28"/>
      <c r="S32" s="28" t="s">
        <v>650</v>
      </c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184"/>
      <c r="AG32" s="28"/>
      <c r="AI32" s="28" t="s">
        <v>650</v>
      </c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184"/>
    </row>
    <row r="33" spans="1:48" s="24" customFormat="1">
      <c r="A33" s="22"/>
      <c r="B33" s="28"/>
      <c r="C33" s="28" t="s">
        <v>651</v>
      </c>
      <c r="D33" s="128">
        <f t="shared" ref="D33:M33" si="58">D32/D27</f>
        <v>-6.9631539078439525E-2</v>
      </c>
      <c r="E33" s="128">
        <f t="shared" si="58"/>
        <v>-3.1046560868631945E-2</v>
      </c>
      <c r="F33" s="128">
        <f t="shared" si="58"/>
        <v>-3.8351532022108753E-2</v>
      </c>
      <c r="G33" s="128">
        <f t="shared" si="58"/>
        <v>-0.12234573069453407</v>
      </c>
      <c r="H33" s="128">
        <f t="shared" si="58"/>
        <v>-9.5697946856907704E-2</v>
      </c>
      <c r="I33" s="298">
        <f t="shared" si="58"/>
        <v>8.5490285199593938E-2</v>
      </c>
      <c r="J33" s="298">
        <f t="shared" si="58"/>
        <v>0.13510829567868235</v>
      </c>
      <c r="K33" s="298">
        <f t="shared" si="58"/>
        <v>9.7353861344564668E-2</v>
      </c>
      <c r="L33" s="298">
        <f t="shared" si="58"/>
        <v>8.5055177776363594E-2</v>
      </c>
      <c r="M33" s="298">
        <f t="shared" si="58"/>
        <v>6.5566984359397104E-2</v>
      </c>
      <c r="N33" s="128">
        <f>N32/N27</f>
        <v>5.7742425834786927E-2</v>
      </c>
      <c r="O33" s="128">
        <f>O32/O27</f>
        <v>5.6889071221103857E-2</v>
      </c>
      <c r="P33" s="308"/>
      <c r="Q33" s="28"/>
      <c r="S33" s="28" t="s">
        <v>651</v>
      </c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184"/>
      <c r="AG33" s="28"/>
      <c r="AI33" s="28" t="s">
        <v>651</v>
      </c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184"/>
    </row>
    <row r="34" spans="1:48">
      <c r="C34" s="10" t="s">
        <v>882</v>
      </c>
      <c r="D34" s="124">
        <f t="shared" ref="D34:I34" si="59">(D26-D28)/D28</f>
        <v>7.484297028885438E-2</v>
      </c>
      <c r="E34" s="124">
        <f t="shared" si="59"/>
        <v>-7.9818490714862553E-3</v>
      </c>
      <c r="F34" s="124">
        <f t="shared" si="59"/>
        <v>5.5074934772078664E-2</v>
      </c>
      <c r="G34" s="124">
        <f t="shared" si="59"/>
        <v>0.32179089837498609</v>
      </c>
      <c r="H34" s="124">
        <f t="shared" si="59"/>
        <v>5.5002418393783503E-2</v>
      </c>
      <c r="I34" s="124">
        <f t="shared" si="59"/>
        <v>-0.29653860768866941</v>
      </c>
      <c r="J34" s="152"/>
      <c r="R34" s="124"/>
    </row>
    <row r="35" spans="1:48">
      <c r="C35" s="11" t="s">
        <v>80</v>
      </c>
      <c r="D35" s="149">
        <v>40360</v>
      </c>
      <c r="E35" s="149">
        <v>40391</v>
      </c>
      <c r="F35" s="149">
        <v>40422</v>
      </c>
      <c r="G35" s="149">
        <v>40452</v>
      </c>
      <c r="H35" s="149">
        <v>40483</v>
      </c>
      <c r="I35" s="149">
        <v>40513</v>
      </c>
      <c r="J35" s="149">
        <v>40544</v>
      </c>
      <c r="K35" s="149">
        <v>40575</v>
      </c>
      <c r="L35" s="149">
        <v>40603</v>
      </c>
      <c r="M35" s="149">
        <v>40634</v>
      </c>
      <c r="N35" s="149">
        <v>40664</v>
      </c>
      <c r="O35" s="149">
        <v>40695</v>
      </c>
      <c r="P35" s="11" t="s">
        <v>758</v>
      </c>
      <c r="Q35" s="13"/>
      <c r="R35" s="13"/>
      <c r="S35" s="11" t="s">
        <v>80</v>
      </c>
      <c r="T35" s="149">
        <v>40725</v>
      </c>
      <c r="U35" s="149">
        <v>40756</v>
      </c>
      <c r="V35" s="149">
        <v>40787</v>
      </c>
      <c r="W35" s="149">
        <v>40817</v>
      </c>
      <c r="X35" s="149">
        <v>40848</v>
      </c>
      <c r="Y35" s="149">
        <v>40878</v>
      </c>
      <c r="Z35" s="149">
        <v>40909</v>
      </c>
      <c r="AA35" s="149">
        <v>40940</v>
      </c>
      <c r="AB35" s="149">
        <v>40969</v>
      </c>
      <c r="AC35" s="149">
        <v>41000</v>
      </c>
      <c r="AD35" s="149">
        <v>41030</v>
      </c>
      <c r="AE35" s="149">
        <v>41061</v>
      </c>
      <c r="AF35" s="11" t="s">
        <v>868</v>
      </c>
      <c r="AI35" s="11" t="s">
        <v>80</v>
      </c>
      <c r="AJ35" s="149">
        <v>41091</v>
      </c>
      <c r="AK35" s="149">
        <v>41122</v>
      </c>
      <c r="AL35" s="149">
        <v>41153</v>
      </c>
      <c r="AM35" s="149">
        <v>41183</v>
      </c>
      <c r="AN35" s="149">
        <v>41214</v>
      </c>
      <c r="AO35" s="149">
        <v>41244</v>
      </c>
      <c r="AP35" s="149">
        <v>41275</v>
      </c>
      <c r="AQ35" s="149">
        <v>41306</v>
      </c>
      <c r="AR35" s="149">
        <v>41334</v>
      </c>
      <c r="AS35" s="149">
        <v>41365</v>
      </c>
      <c r="AT35" s="149">
        <v>41395</v>
      </c>
      <c r="AU35" s="149">
        <v>41426</v>
      </c>
      <c r="AV35" s="11" t="s">
        <v>895</v>
      </c>
    </row>
    <row r="36" spans="1:48" s="22" customFormat="1">
      <c r="A36" s="393" t="s">
        <v>86</v>
      </c>
      <c r="B36" s="13" t="s">
        <v>87</v>
      </c>
      <c r="C36" s="22" t="s">
        <v>1</v>
      </c>
      <c r="D36" s="158">
        <v>31</v>
      </c>
      <c r="E36" s="22">
        <v>31</v>
      </c>
      <c r="F36" s="22">
        <v>30</v>
      </c>
      <c r="G36" s="22">
        <v>31</v>
      </c>
      <c r="H36" s="22">
        <v>30</v>
      </c>
      <c r="I36" s="152">
        <v>31</v>
      </c>
      <c r="J36" s="158">
        <v>31</v>
      </c>
      <c r="K36" s="152">
        <v>28</v>
      </c>
      <c r="L36" s="152">
        <v>31</v>
      </c>
      <c r="M36" s="152">
        <v>30</v>
      </c>
      <c r="N36" s="22">
        <v>31</v>
      </c>
      <c r="O36" s="22">
        <v>30</v>
      </c>
      <c r="P36" s="22">
        <f t="shared" ref="P36:P52" si="60">SUM(D36:O36)</f>
        <v>365</v>
      </c>
      <c r="Q36" s="13" t="s">
        <v>86</v>
      </c>
      <c r="R36" s="13" t="s">
        <v>87</v>
      </c>
      <c r="S36" s="22" t="s">
        <v>1</v>
      </c>
      <c r="T36" s="158">
        <v>31</v>
      </c>
      <c r="U36" s="22">
        <v>31</v>
      </c>
      <c r="V36" s="22">
        <v>30</v>
      </c>
      <c r="W36" s="22">
        <v>31</v>
      </c>
      <c r="X36" s="22">
        <v>30</v>
      </c>
      <c r="Y36" s="22">
        <v>31</v>
      </c>
      <c r="Z36" s="159">
        <v>31</v>
      </c>
      <c r="AA36" s="277">
        <v>28</v>
      </c>
      <c r="AB36" s="22">
        <v>31</v>
      </c>
      <c r="AC36" s="22">
        <v>30</v>
      </c>
      <c r="AD36" s="22">
        <v>31</v>
      </c>
      <c r="AE36" s="22">
        <v>30</v>
      </c>
      <c r="AG36" s="13" t="s">
        <v>86</v>
      </c>
      <c r="AH36" s="13" t="s">
        <v>87</v>
      </c>
      <c r="AI36" s="22" t="s">
        <v>1</v>
      </c>
      <c r="AJ36" s="158">
        <v>31</v>
      </c>
      <c r="AK36" s="22">
        <v>31</v>
      </c>
      <c r="AL36" s="22">
        <v>30</v>
      </c>
      <c r="AM36" s="22">
        <v>31</v>
      </c>
      <c r="AN36" s="22">
        <v>30</v>
      </c>
      <c r="AO36" s="22">
        <v>31</v>
      </c>
      <c r="AP36" s="159">
        <v>31</v>
      </c>
      <c r="AQ36" s="22">
        <v>28</v>
      </c>
      <c r="AR36" s="22">
        <v>31</v>
      </c>
      <c r="AS36" s="22">
        <v>30</v>
      </c>
      <c r="AT36" s="22">
        <v>31</v>
      </c>
      <c r="AU36" s="22">
        <v>30</v>
      </c>
    </row>
    <row r="37" spans="1:48" s="22" customFormat="1">
      <c r="A37" s="132">
        <v>3933.1</v>
      </c>
      <c r="B37" s="132">
        <v>1479.6</v>
      </c>
      <c r="C37" s="22" t="s">
        <v>501</v>
      </c>
      <c r="D37" s="158">
        <f t="shared" ref="D37:O37" si="61">(D36*$A$37)+(D2*$B$37)</f>
        <v>121926.09999999999</v>
      </c>
      <c r="E37" s="158">
        <f t="shared" si="61"/>
        <v>121926.09999999999</v>
      </c>
      <c r="F37" s="158">
        <f t="shared" si="61"/>
        <v>151949.82</v>
      </c>
      <c r="G37" s="158">
        <f t="shared" si="61"/>
        <v>404899.6</v>
      </c>
      <c r="H37" s="158">
        <f t="shared" si="61"/>
        <v>709093.2</v>
      </c>
      <c r="I37" s="158">
        <f t="shared" si="61"/>
        <v>1062655.7799999998</v>
      </c>
      <c r="J37" s="158">
        <f t="shared" si="61"/>
        <v>1219863.28</v>
      </c>
      <c r="K37" s="158">
        <f t="shared" si="61"/>
        <v>996777.1</v>
      </c>
      <c r="L37" s="158">
        <f t="shared" si="61"/>
        <v>785970.58</v>
      </c>
      <c r="M37" s="158">
        <f t="shared" si="61"/>
        <v>437438.64</v>
      </c>
      <c r="N37" s="158">
        <f t="shared" si="61"/>
        <v>222538.89999999997</v>
      </c>
      <c r="O37" s="158">
        <f t="shared" si="61"/>
        <v>117993</v>
      </c>
      <c r="P37" s="22">
        <f t="shared" si="60"/>
        <v>6353032.0999999996</v>
      </c>
      <c r="Q37" s="28">
        <f>A39</f>
        <v>3958.263339852484</v>
      </c>
      <c r="R37" s="28">
        <f>B39</f>
        <v>1489.0664804059695</v>
      </c>
      <c r="S37" s="22" t="s">
        <v>501</v>
      </c>
      <c r="T37" s="158">
        <f t="shared" ref="T37:AE37" si="62">(T36*$Q$37)+(T2*$R$37)</f>
        <v>122706.16353542701</v>
      </c>
      <c r="U37" s="158">
        <f t="shared" si="62"/>
        <v>122706.16353542701</v>
      </c>
      <c r="V37" s="158">
        <f t="shared" si="62"/>
        <v>152921.97592089151</v>
      </c>
      <c r="W37" s="158">
        <f t="shared" si="62"/>
        <v>407490.12791306869</v>
      </c>
      <c r="X37" s="158">
        <f t="shared" si="62"/>
        <v>713629.95911775937</v>
      </c>
      <c r="Y37" s="158">
        <f t="shared" si="62"/>
        <v>1069454.6317775424</v>
      </c>
      <c r="Z37" s="158">
        <f t="shared" si="62"/>
        <v>1227667.9453206768</v>
      </c>
      <c r="AA37" s="158">
        <f t="shared" si="62"/>
        <v>1003154.4618991467</v>
      </c>
      <c r="AB37" s="158">
        <f t="shared" si="62"/>
        <v>790999.19994162605</v>
      </c>
      <c r="AC37" s="158">
        <f t="shared" si="62"/>
        <v>440237.35331522336</v>
      </c>
      <c r="AD37" s="158">
        <f t="shared" si="62"/>
        <v>223962.68420303293</v>
      </c>
      <c r="AE37" s="158">
        <f t="shared" si="62"/>
        <v>118747.90019557452</v>
      </c>
      <c r="AF37" s="22">
        <f t="shared" ref="AF37:AF54" si="63">SUM(T37:AE37)</f>
        <v>6393678.5666753957</v>
      </c>
      <c r="AG37" s="28">
        <f>Q39</f>
        <v>3988.4593476754649</v>
      </c>
      <c r="AH37" s="28">
        <f>R39</f>
        <v>1500.4262568931331</v>
      </c>
      <c r="AI37" s="22" t="s">
        <v>501</v>
      </c>
      <c r="AJ37" s="158">
        <f t="shared" ref="AJ37:AU37" si="64">(AJ36*$AG$37)+(AJ2*$AH$37)</f>
        <v>123642.23977793941</v>
      </c>
      <c r="AK37" s="158">
        <f t="shared" si="64"/>
        <v>123642.23977793941</v>
      </c>
      <c r="AL37" s="158">
        <f t="shared" si="64"/>
        <v>154088.56302596134</v>
      </c>
      <c r="AM37" s="158">
        <f t="shared" si="64"/>
        <v>410598.76140875107</v>
      </c>
      <c r="AN37" s="158">
        <f t="shared" si="64"/>
        <v>719074.0700590706</v>
      </c>
      <c r="AO37" s="158">
        <f t="shared" si="64"/>
        <v>1077613.2539105935</v>
      </c>
      <c r="AP37" s="158">
        <f t="shared" si="64"/>
        <v>1237033.5437054888</v>
      </c>
      <c r="AQ37" s="158">
        <f t="shared" si="64"/>
        <v>1010807.296178123</v>
      </c>
      <c r="AR37" s="158">
        <f t="shared" si="64"/>
        <v>797033.5438715776</v>
      </c>
      <c r="AS37" s="158">
        <f t="shared" si="64"/>
        <v>443595.80929349142</v>
      </c>
      <c r="AT37" s="158">
        <f t="shared" si="64"/>
        <v>225671.22524667246</v>
      </c>
      <c r="AU37" s="158">
        <f t="shared" si="64"/>
        <v>119653.78043026394</v>
      </c>
      <c r="AV37" s="22">
        <f t="shared" ref="AV37:AV54" si="65">SUM(AJ37:AU37)</f>
        <v>6442454.3266858729</v>
      </c>
    </row>
    <row r="38" spans="1:48" s="22" customFormat="1">
      <c r="A38" s="132">
        <v>25.163339852484057</v>
      </c>
      <c r="B38" s="132">
        <v>9.4664804059695875</v>
      </c>
      <c r="C38" s="28" t="s">
        <v>502</v>
      </c>
      <c r="D38" s="158">
        <f t="shared" ref="D38:O38" si="66">(D36*$A$38)+(D2*$B$38)</f>
        <v>780.06353542700572</v>
      </c>
      <c r="E38" s="158">
        <f t="shared" si="66"/>
        <v>780.06353542700572</v>
      </c>
      <c r="F38" s="158">
        <f t="shared" si="66"/>
        <v>972.15592089152369</v>
      </c>
      <c r="G38" s="158">
        <f t="shared" si="66"/>
        <v>2590.5279130686895</v>
      </c>
      <c r="H38" s="158">
        <f t="shared" si="66"/>
        <v>4536.7591177593722</v>
      </c>
      <c r="I38" s="158">
        <f t="shared" si="66"/>
        <v>6798.8517775424698</v>
      </c>
      <c r="J38" s="158">
        <f t="shared" si="66"/>
        <v>7804.6653206767369</v>
      </c>
      <c r="K38" s="158">
        <f t="shared" si="66"/>
        <v>6377.3618991468284</v>
      </c>
      <c r="L38" s="158">
        <f t="shared" si="66"/>
        <v>5028.619941626157</v>
      </c>
      <c r="M38" s="158">
        <f t="shared" si="66"/>
        <v>2798.7133152233555</v>
      </c>
      <c r="N38" s="158">
        <f t="shared" si="66"/>
        <v>1423.7842030329375</v>
      </c>
      <c r="O38" s="158">
        <f t="shared" si="66"/>
        <v>754.90019557452172</v>
      </c>
      <c r="P38" s="22">
        <f t="shared" si="60"/>
        <v>40646.466675396601</v>
      </c>
      <c r="Q38" s="132">
        <v>30.196007822980871</v>
      </c>
      <c r="R38" s="132">
        <v>11.359776487163504</v>
      </c>
      <c r="S38" s="28" t="s">
        <v>502</v>
      </c>
      <c r="T38" s="158">
        <f t="shared" ref="T38:AE38" si="67">(T36*$Q$38)+(T2*$R$38)</f>
        <v>936.07624251240702</v>
      </c>
      <c r="U38" s="158">
        <f t="shared" si="67"/>
        <v>936.07624251240702</v>
      </c>
      <c r="V38" s="158">
        <f t="shared" si="67"/>
        <v>1166.5871050698286</v>
      </c>
      <c r="W38" s="158">
        <f t="shared" si="67"/>
        <v>3108.6334956824271</v>
      </c>
      <c r="X38" s="158">
        <f t="shared" si="67"/>
        <v>5444.1109413112463</v>
      </c>
      <c r="Y38" s="158">
        <f t="shared" si="67"/>
        <v>8158.6221330509625</v>
      </c>
      <c r="Z38" s="158">
        <f t="shared" si="67"/>
        <v>9365.598384812085</v>
      </c>
      <c r="AA38" s="158">
        <f t="shared" si="67"/>
        <v>7652.8342789761946</v>
      </c>
      <c r="AB38" s="158">
        <f t="shared" si="67"/>
        <v>6034.3439299513875</v>
      </c>
      <c r="AC38" s="158">
        <f t="shared" si="67"/>
        <v>3358.4559782680271</v>
      </c>
      <c r="AD38" s="158">
        <f t="shared" si="67"/>
        <v>1708.5410436395255</v>
      </c>
      <c r="AE38" s="158">
        <f t="shared" si="67"/>
        <v>905.88023468942617</v>
      </c>
      <c r="AF38" s="22">
        <f t="shared" si="63"/>
        <v>48775.760010475919</v>
      </c>
      <c r="AG38" s="132">
        <v>36.235209387577044</v>
      </c>
      <c r="AH38" s="132">
        <v>13.631731784596207</v>
      </c>
      <c r="AI38" s="28" t="s">
        <v>502</v>
      </c>
      <c r="AJ38" s="158">
        <f t="shared" ref="AJ38:AU38" si="68">(AJ36*$AG$38)+(AJ2*$AH$38)</f>
        <v>1123.2914910148884</v>
      </c>
      <c r="AK38" s="158">
        <f t="shared" si="68"/>
        <v>1123.2914910148884</v>
      </c>
      <c r="AL38" s="158">
        <f t="shared" si="68"/>
        <v>1399.9045260837943</v>
      </c>
      <c r="AM38" s="158">
        <f t="shared" si="68"/>
        <v>3730.360194818913</v>
      </c>
      <c r="AN38" s="158">
        <f t="shared" si="68"/>
        <v>6532.9331295734964</v>
      </c>
      <c r="AO38" s="158">
        <f t="shared" si="68"/>
        <v>9790.3465596611568</v>
      </c>
      <c r="AP38" s="158">
        <f t="shared" si="68"/>
        <v>11238.718061774503</v>
      </c>
      <c r="AQ38" s="158">
        <f t="shared" si="68"/>
        <v>9183.4011347714331</v>
      </c>
      <c r="AR38" s="158">
        <f t="shared" si="68"/>
        <v>7241.2127159416659</v>
      </c>
      <c r="AS38" s="158">
        <f t="shared" si="68"/>
        <v>4030.1471739216327</v>
      </c>
      <c r="AT38" s="158">
        <f t="shared" si="68"/>
        <v>2050.2492523674305</v>
      </c>
      <c r="AU38" s="158">
        <f t="shared" si="68"/>
        <v>1087.0562816273114</v>
      </c>
      <c r="AV38" s="22">
        <f t="shared" si="65"/>
        <v>58530.912012571112</v>
      </c>
    </row>
    <row r="39" spans="1:48" s="22" customFormat="1">
      <c r="A39" s="27">
        <f>A37+A38</f>
        <v>3958.263339852484</v>
      </c>
      <c r="B39" s="27">
        <f>B37+B38</f>
        <v>1489.0664804059695</v>
      </c>
      <c r="C39" s="28" t="s">
        <v>505</v>
      </c>
      <c r="D39" s="158">
        <f>SUM(D37:D38)</f>
        <v>122706.163535427</v>
      </c>
      <c r="E39" s="158">
        <f t="shared" ref="E39:O39" si="69">SUM(E37:E38)</f>
        <v>122706.163535427</v>
      </c>
      <c r="F39" s="158">
        <f t="shared" si="69"/>
        <v>152921.97592089153</v>
      </c>
      <c r="G39" s="158">
        <f t="shared" si="69"/>
        <v>407490.12791306869</v>
      </c>
      <c r="H39" s="158">
        <f t="shared" si="69"/>
        <v>713629.95911775937</v>
      </c>
      <c r="I39" s="158">
        <f t="shared" si="69"/>
        <v>1069454.6317775422</v>
      </c>
      <c r="J39" s="158">
        <f t="shared" si="69"/>
        <v>1227667.9453206768</v>
      </c>
      <c r="K39" s="158">
        <f t="shared" si="69"/>
        <v>1003154.4618991468</v>
      </c>
      <c r="L39" s="158">
        <f t="shared" si="69"/>
        <v>790999.19994162617</v>
      </c>
      <c r="M39" s="158">
        <f t="shared" si="69"/>
        <v>440237.35331522336</v>
      </c>
      <c r="N39" s="158">
        <f t="shared" si="69"/>
        <v>223962.6842030329</v>
      </c>
      <c r="O39" s="158">
        <f t="shared" si="69"/>
        <v>118747.90019557452</v>
      </c>
      <c r="P39" s="22">
        <f t="shared" si="60"/>
        <v>6393678.5666753957</v>
      </c>
      <c r="Q39" s="27">
        <f>Q37+Q38</f>
        <v>3988.4593476754649</v>
      </c>
      <c r="R39" s="27">
        <f>R37+R38</f>
        <v>1500.4262568931331</v>
      </c>
      <c r="S39" s="28" t="s">
        <v>505</v>
      </c>
      <c r="T39" s="158">
        <f t="shared" ref="T39:AE39" si="70">SUM(T37:T38)</f>
        <v>123642.23977793942</v>
      </c>
      <c r="U39" s="158">
        <f t="shared" si="70"/>
        <v>123642.23977793942</v>
      </c>
      <c r="V39" s="158">
        <f t="shared" si="70"/>
        <v>154088.56302596134</v>
      </c>
      <c r="W39" s="158">
        <f t="shared" si="70"/>
        <v>410598.76140875113</v>
      </c>
      <c r="X39" s="158">
        <f t="shared" si="70"/>
        <v>719074.0700590706</v>
      </c>
      <c r="Y39" s="158">
        <f t="shared" si="70"/>
        <v>1077613.2539105935</v>
      </c>
      <c r="Z39" s="158">
        <f t="shared" si="70"/>
        <v>1237033.5437054888</v>
      </c>
      <c r="AA39" s="158">
        <f t="shared" si="70"/>
        <v>1010807.2961781229</v>
      </c>
      <c r="AB39" s="158">
        <f t="shared" si="70"/>
        <v>797033.54387157748</v>
      </c>
      <c r="AC39" s="158">
        <f t="shared" si="70"/>
        <v>443595.80929349136</v>
      </c>
      <c r="AD39" s="158">
        <f t="shared" si="70"/>
        <v>225671.22524667246</v>
      </c>
      <c r="AE39" s="158">
        <f t="shared" si="70"/>
        <v>119653.78043026394</v>
      </c>
      <c r="AF39" s="22">
        <f t="shared" si="63"/>
        <v>6442454.3266858729</v>
      </c>
      <c r="AG39" s="27">
        <f>AG37+AG38</f>
        <v>4024.6945570630419</v>
      </c>
      <c r="AH39" s="27">
        <f>AH37+AH38</f>
        <v>1514.0579886777293</v>
      </c>
      <c r="AI39" s="28" t="s">
        <v>505</v>
      </c>
      <c r="AJ39" s="158">
        <f t="shared" ref="AJ39:AU39" si="71">SUM(AJ37:AJ38)</f>
        <v>124765.53126895429</v>
      </c>
      <c r="AK39" s="158">
        <f t="shared" si="71"/>
        <v>124765.53126895429</v>
      </c>
      <c r="AL39" s="158">
        <f t="shared" si="71"/>
        <v>155488.46755204513</v>
      </c>
      <c r="AM39" s="158">
        <f t="shared" si="71"/>
        <v>414329.12160357001</v>
      </c>
      <c r="AN39" s="158">
        <f t="shared" si="71"/>
        <v>725607.00318864407</v>
      </c>
      <c r="AO39" s="158">
        <f t="shared" si="71"/>
        <v>1087403.6004702547</v>
      </c>
      <c r="AP39" s="158">
        <f t="shared" si="71"/>
        <v>1248272.2617672633</v>
      </c>
      <c r="AQ39" s="158">
        <f t="shared" si="71"/>
        <v>1019990.6973128944</v>
      </c>
      <c r="AR39" s="158">
        <f t="shared" si="71"/>
        <v>804274.75658751931</v>
      </c>
      <c r="AS39" s="158">
        <f t="shared" si="71"/>
        <v>447625.95646741305</v>
      </c>
      <c r="AT39" s="158">
        <f t="shared" si="71"/>
        <v>227721.4744990399</v>
      </c>
      <c r="AU39" s="158">
        <f t="shared" si="71"/>
        <v>120740.83671189126</v>
      </c>
      <c r="AV39" s="22">
        <f t="shared" si="65"/>
        <v>6500985.2386984443</v>
      </c>
    </row>
    <row r="40" spans="1:48" s="22" customFormat="1">
      <c r="A40" s="28"/>
      <c r="B40" s="28"/>
      <c r="C40" s="28" t="s">
        <v>652</v>
      </c>
      <c r="D40" s="158">
        <f>D39</f>
        <v>122706.163535427</v>
      </c>
      <c r="E40" s="158">
        <f>D40+E39</f>
        <v>245412.32707085399</v>
      </c>
      <c r="F40" s="158">
        <f t="shared" ref="F40:O40" si="72">E40+F39</f>
        <v>398334.30299174553</v>
      </c>
      <c r="G40" s="158">
        <f t="shared" si="72"/>
        <v>805824.43090481427</v>
      </c>
      <c r="H40" s="158">
        <f t="shared" si="72"/>
        <v>1519454.3900225735</v>
      </c>
      <c r="I40" s="158">
        <f t="shared" si="72"/>
        <v>2588909.0218001157</v>
      </c>
      <c r="J40" s="158">
        <f t="shared" si="72"/>
        <v>3816576.9671207927</v>
      </c>
      <c r="K40" s="158">
        <f t="shared" si="72"/>
        <v>4819731.4290199392</v>
      </c>
      <c r="L40" s="158">
        <f t="shared" si="72"/>
        <v>5610730.628961565</v>
      </c>
      <c r="M40" s="158">
        <f>L40+M71</f>
        <v>5937231.3289615652</v>
      </c>
      <c r="N40" s="158">
        <f t="shared" si="72"/>
        <v>6161194.0131645985</v>
      </c>
      <c r="O40" s="158">
        <f t="shared" si="72"/>
        <v>6279941.9133601729</v>
      </c>
      <c r="Q40" s="131"/>
      <c r="R40" s="131"/>
      <c r="S40" s="28" t="s">
        <v>652</v>
      </c>
      <c r="T40" s="158">
        <f>T39</f>
        <v>123642.23977793942</v>
      </c>
      <c r="U40" s="158">
        <f t="shared" ref="U40:AE40" si="73">T40+U39</f>
        <v>247284.47955587885</v>
      </c>
      <c r="V40" s="158">
        <f t="shared" si="73"/>
        <v>401373.04258184019</v>
      </c>
      <c r="W40" s="158">
        <f t="shared" si="73"/>
        <v>811971.80399059132</v>
      </c>
      <c r="X40" s="158">
        <f t="shared" si="73"/>
        <v>1531045.8740496619</v>
      </c>
      <c r="Y40" s="158">
        <f t="shared" si="73"/>
        <v>2608659.1279602554</v>
      </c>
      <c r="Z40" s="158">
        <f t="shared" si="73"/>
        <v>3845692.6716657439</v>
      </c>
      <c r="AA40" s="158">
        <f t="shared" si="73"/>
        <v>4856499.9678438669</v>
      </c>
      <c r="AB40" s="158">
        <f t="shared" si="73"/>
        <v>5653533.5117154447</v>
      </c>
      <c r="AC40" s="158">
        <f t="shared" si="73"/>
        <v>6097129.3210089365</v>
      </c>
      <c r="AD40" s="158">
        <f t="shared" si="73"/>
        <v>6322800.546255609</v>
      </c>
      <c r="AE40" s="158">
        <f t="shared" si="73"/>
        <v>6442454.3266858729</v>
      </c>
      <c r="AG40" s="13"/>
      <c r="AH40" s="13"/>
      <c r="AI40" s="28" t="s">
        <v>652</v>
      </c>
      <c r="AJ40" s="158">
        <f>AJ39</f>
        <v>124765.53126895429</v>
      </c>
      <c r="AK40" s="158">
        <f t="shared" ref="AK40:AU40" si="74">AJ40+AK39</f>
        <v>249531.06253790858</v>
      </c>
      <c r="AL40" s="158">
        <f t="shared" si="74"/>
        <v>405019.53008995368</v>
      </c>
      <c r="AM40" s="158">
        <f t="shared" si="74"/>
        <v>819348.65169352363</v>
      </c>
      <c r="AN40" s="158">
        <f t="shared" si="74"/>
        <v>1544955.6548821677</v>
      </c>
      <c r="AO40" s="158">
        <f t="shared" si="74"/>
        <v>2632359.2553524226</v>
      </c>
      <c r="AP40" s="158">
        <f t="shared" si="74"/>
        <v>3880631.5171196861</v>
      </c>
      <c r="AQ40" s="158">
        <f t="shared" si="74"/>
        <v>4900622.2144325804</v>
      </c>
      <c r="AR40" s="158">
        <f t="shared" si="74"/>
        <v>5704896.9710200997</v>
      </c>
      <c r="AS40" s="158">
        <f t="shared" si="74"/>
        <v>6152522.9274875131</v>
      </c>
      <c r="AT40" s="158">
        <f t="shared" si="74"/>
        <v>6380244.4019865533</v>
      </c>
      <c r="AU40" s="158">
        <f t="shared" si="74"/>
        <v>6500985.2386984443</v>
      </c>
    </row>
    <row r="41" spans="1:48" s="24" customFormat="1">
      <c r="A41" s="28"/>
      <c r="B41" s="28"/>
      <c r="C41" s="28" t="s">
        <v>743</v>
      </c>
      <c r="D41" s="275">
        <f>D39/97000</f>
        <v>1.2650119952105876</v>
      </c>
      <c r="E41" s="275">
        <f t="shared" ref="E41:O41" si="75">E39/97000</f>
        <v>1.2650119952105876</v>
      </c>
      <c r="F41" s="275">
        <f t="shared" si="75"/>
        <v>1.5765152156792941</v>
      </c>
      <c r="G41" s="275">
        <f t="shared" si="75"/>
        <v>4.200929153742976</v>
      </c>
      <c r="H41" s="275">
        <f t="shared" si="75"/>
        <v>7.3570098878119525</v>
      </c>
      <c r="I41" s="275">
        <f t="shared" si="75"/>
        <v>11.025305482242702</v>
      </c>
      <c r="J41" s="275">
        <f t="shared" si="75"/>
        <v>12.656370570316255</v>
      </c>
      <c r="K41" s="275">
        <f t="shared" si="75"/>
        <v>10.341798576279864</v>
      </c>
      <c r="L41" s="345">
        <f t="shared" si="75"/>
        <v>8.15463092723326</v>
      </c>
      <c r="M41" s="345">
        <f>M71/97000</f>
        <v>3.3659865979381443</v>
      </c>
      <c r="N41" s="275">
        <f t="shared" si="75"/>
        <v>2.3088936515776588</v>
      </c>
      <c r="O41" s="275">
        <f t="shared" si="75"/>
        <v>1.2242051566554073</v>
      </c>
      <c r="P41" s="184">
        <f>SUM(D41:O41)</f>
        <v>64.741669209898689</v>
      </c>
      <c r="Q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184"/>
      <c r="AG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184"/>
    </row>
    <row r="42" spans="1:48" s="22" customFormat="1">
      <c r="A42" s="132">
        <v>2177.6999999999998</v>
      </c>
      <c r="B42" s="132">
        <v>598.5</v>
      </c>
      <c r="C42" s="22" t="s">
        <v>503</v>
      </c>
      <c r="D42" s="158">
        <f t="shared" ref="D42:O42" si="76">(D36*$A$42)+(D2*$B$42)</f>
        <v>67508.7</v>
      </c>
      <c r="E42" s="158">
        <f t="shared" si="76"/>
        <v>67508.7</v>
      </c>
      <c r="F42" s="158">
        <f t="shared" si="76"/>
        <v>79066.574999999997</v>
      </c>
      <c r="G42" s="158">
        <f t="shared" si="76"/>
        <v>181971.82500000001</v>
      </c>
      <c r="H42" s="158">
        <f t="shared" si="76"/>
        <v>304431.75</v>
      </c>
      <c r="I42" s="158">
        <f t="shared" si="76"/>
        <v>448035</v>
      </c>
      <c r="J42" s="158">
        <f t="shared" si="76"/>
        <v>511625.625</v>
      </c>
      <c r="K42" s="158">
        <f t="shared" si="76"/>
        <v>419626.72499999998</v>
      </c>
      <c r="L42" s="158">
        <f t="shared" si="76"/>
        <v>336115.5</v>
      </c>
      <c r="M42" s="158">
        <f t="shared" si="76"/>
        <v>194547.15</v>
      </c>
      <c r="N42" s="158">
        <f t="shared" si="76"/>
        <v>108206.7</v>
      </c>
      <c r="O42" s="158">
        <f t="shared" si="76"/>
        <v>65330.999999999993</v>
      </c>
      <c r="P42" s="22">
        <f t="shared" si="60"/>
        <v>2783975.25</v>
      </c>
      <c r="Q42" s="28">
        <f>A44</f>
        <v>2192.3128529708379</v>
      </c>
      <c r="R42" s="28">
        <f>B44</f>
        <v>602.51630133776416</v>
      </c>
      <c r="S42" s="22" t="s">
        <v>503</v>
      </c>
      <c r="T42" s="158">
        <f t="shared" ref="T42:AE42" si="77">(T36*$Q$42)+(T2*$R$42)</f>
        <v>67961.698442095978</v>
      </c>
      <c r="U42" s="158">
        <f t="shared" si="77"/>
        <v>67961.698442095978</v>
      </c>
      <c r="V42" s="158">
        <f t="shared" si="77"/>
        <v>79597.134704826822</v>
      </c>
      <c r="W42" s="158">
        <f t="shared" si="77"/>
        <v>183192.94107294339</v>
      </c>
      <c r="X42" s="158">
        <f t="shared" si="77"/>
        <v>306474.64797356189</v>
      </c>
      <c r="Y42" s="158">
        <f t="shared" si="77"/>
        <v>451041.56283264642</v>
      </c>
      <c r="Z42" s="158">
        <f t="shared" si="77"/>
        <v>515058.91984978388</v>
      </c>
      <c r="AA42" s="158">
        <f t="shared" si="77"/>
        <v>422442.65345983865</v>
      </c>
      <c r="AB42" s="158">
        <f t="shared" si="77"/>
        <v>338371.01448248455</v>
      </c>
      <c r="AC42" s="158">
        <f t="shared" si="77"/>
        <v>195852.65504794841</v>
      </c>
      <c r="AD42" s="158">
        <f t="shared" si="77"/>
        <v>108932.80693306394</v>
      </c>
      <c r="AE42" s="158">
        <f t="shared" si="77"/>
        <v>65769.38558912513</v>
      </c>
      <c r="AF42" s="22">
        <f t="shared" si="63"/>
        <v>2802657.118830415</v>
      </c>
      <c r="AG42" s="28">
        <f>Q44</f>
        <v>2210.0570315782838</v>
      </c>
      <c r="AH42" s="28">
        <f>R44</f>
        <v>607.39323867647772</v>
      </c>
      <c r="AI42" s="22" t="s">
        <v>503</v>
      </c>
      <c r="AJ42" s="158">
        <f t="shared" ref="AJ42:AU42" si="78">(AJ36*$AG$42)+(AJ2*$AH$42)</f>
        <v>68511.7679789268</v>
      </c>
      <c r="AK42" s="158">
        <f t="shared" si="78"/>
        <v>68511.7679789268</v>
      </c>
      <c r="AL42" s="158">
        <f t="shared" si="78"/>
        <v>80241.385774973678</v>
      </c>
      <c r="AM42" s="158">
        <f t="shared" si="78"/>
        <v>184675.72487580316</v>
      </c>
      <c r="AN42" s="158">
        <f t="shared" si="78"/>
        <v>308955.30979860137</v>
      </c>
      <c r="AO42" s="158">
        <f t="shared" si="78"/>
        <v>454692.38912943134</v>
      </c>
      <c r="AP42" s="158">
        <f t="shared" si="78"/>
        <v>519227.92073880706</v>
      </c>
      <c r="AQ42" s="158">
        <f t="shared" si="78"/>
        <v>425861.99516107125</v>
      </c>
      <c r="AR42" s="158">
        <f t="shared" si="78"/>
        <v>341109.85349692998</v>
      </c>
      <c r="AS42" s="158">
        <f t="shared" si="78"/>
        <v>197437.91117760004</v>
      </c>
      <c r="AT42" s="158">
        <f t="shared" si="78"/>
        <v>109814.50820892729</v>
      </c>
      <c r="AU42" s="158">
        <f t="shared" si="78"/>
        <v>66301.710947348518</v>
      </c>
      <c r="AV42" s="22">
        <f t="shared" si="65"/>
        <v>2825342.2452673479</v>
      </c>
    </row>
    <row r="43" spans="1:48" s="22" customFormat="1">
      <c r="A43" s="132">
        <v>14.612852970837887</v>
      </c>
      <c r="B43" s="132">
        <v>4.0163013377641459</v>
      </c>
      <c r="C43" s="28" t="s">
        <v>507</v>
      </c>
      <c r="D43" s="158">
        <f t="shared" ref="D43:O43" si="79">(D36*$A$43)+(D2*$B$43)</f>
        <v>452.9984420959745</v>
      </c>
      <c r="E43" s="158">
        <f t="shared" si="79"/>
        <v>452.9984420959745</v>
      </c>
      <c r="F43" s="158">
        <f t="shared" si="79"/>
        <v>530.5597048268238</v>
      </c>
      <c r="G43" s="158">
        <f t="shared" si="79"/>
        <v>1221.1160729433673</v>
      </c>
      <c r="H43" s="158">
        <f t="shared" si="79"/>
        <v>2042.897973561913</v>
      </c>
      <c r="I43" s="158">
        <f t="shared" si="79"/>
        <v>3006.5628326464184</v>
      </c>
      <c r="J43" s="158">
        <f t="shared" si="79"/>
        <v>3433.2948497838588</v>
      </c>
      <c r="K43" s="158">
        <f t="shared" si="79"/>
        <v>2815.9284598386253</v>
      </c>
      <c r="L43" s="158">
        <f t="shared" si="79"/>
        <v>2255.5144824845229</v>
      </c>
      <c r="M43" s="158">
        <f t="shared" si="79"/>
        <v>1305.5050479484157</v>
      </c>
      <c r="N43" s="158">
        <f t="shared" si="79"/>
        <v>726.10693306393637</v>
      </c>
      <c r="O43" s="158">
        <f t="shared" si="79"/>
        <v>438.38558912513662</v>
      </c>
      <c r="P43" s="22">
        <f t="shared" si="60"/>
        <v>18681.868830414969</v>
      </c>
      <c r="Q43" s="132">
        <v>17.744178607446006</v>
      </c>
      <c r="R43" s="132">
        <v>4.8769373387136055</v>
      </c>
      <c r="S43" s="28" t="s">
        <v>507</v>
      </c>
      <c r="T43" s="158">
        <f t="shared" ref="T43:AE43" si="80">(T36*$Q$43)+(T2*$R$43)</f>
        <v>550.06953683082622</v>
      </c>
      <c r="U43" s="158">
        <f t="shared" si="80"/>
        <v>550.06953683082622</v>
      </c>
      <c r="V43" s="158">
        <f t="shared" si="80"/>
        <v>644.25107014685739</v>
      </c>
      <c r="W43" s="158">
        <f t="shared" si="80"/>
        <v>1482.7838028598032</v>
      </c>
      <c r="X43" s="158">
        <f t="shared" si="80"/>
        <v>2480.6618250394658</v>
      </c>
      <c r="Y43" s="158">
        <f t="shared" si="80"/>
        <v>3650.8262967849364</v>
      </c>
      <c r="Z43" s="158">
        <f t="shared" si="80"/>
        <v>4169.0008890232566</v>
      </c>
      <c r="AA43" s="158">
        <f t="shared" si="80"/>
        <v>3419.3417012326163</v>
      </c>
      <c r="AB43" s="158">
        <f t="shared" si="80"/>
        <v>2738.8390144454925</v>
      </c>
      <c r="AC43" s="158">
        <f t="shared" si="80"/>
        <v>1585.2561296516476</v>
      </c>
      <c r="AD43" s="158">
        <f t="shared" si="80"/>
        <v>881.70127586335138</v>
      </c>
      <c r="AE43" s="158">
        <f t="shared" si="80"/>
        <v>532.32535822338014</v>
      </c>
      <c r="AF43" s="22">
        <f t="shared" si="63"/>
        <v>22685.12643693246</v>
      </c>
      <c r="AG43" s="132">
        <v>20.875504244054124</v>
      </c>
      <c r="AH43" s="132">
        <v>5.737573339663065</v>
      </c>
      <c r="AI43" s="28" t="s">
        <v>507</v>
      </c>
      <c r="AJ43" s="158">
        <f t="shared" ref="AJ43:AU43" si="81">(AJ36*$Q$43)+(AJ2*$R$43)</f>
        <v>550.06953683082622</v>
      </c>
      <c r="AK43" s="158">
        <f t="shared" si="81"/>
        <v>550.06953683082622</v>
      </c>
      <c r="AL43" s="158">
        <f t="shared" si="81"/>
        <v>644.25107014685739</v>
      </c>
      <c r="AM43" s="158">
        <f t="shared" si="81"/>
        <v>1482.7838028598032</v>
      </c>
      <c r="AN43" s="158">
        <f t="shared" si="81"/>
        <v>2480.6618250394658</v>
      </c>
      <c r="AO43" s="158">
        <f t="shared" si="81"/>
        <v>3650.8262967849364</v>
      </c>
      <c r="AP43" s="158">
        <f t="shared" si="81"/>
        <v>4169.0008890232566</v>
      </c>
      <c r="AQ43" s="158">
        <f t="shared" si="81"/>
        <v>3419.3417012326163</v>
      </c>
      <c r="AR43" s="158">
        <f t="shared" si="81"/>
        <v>2738.8390144454925</v>
      </c>
      <c r="AS43" s="158">
        <f t="shared" si="81"/>
        <v>1585.2561296516476</v>
      </c>
      <c r="AT43" s="158">
        <f t="shared" si="81"/>
        <v>881.70127586335138</v>
      </c>
      <c r="AU43" s="158">
        <f t="shared" si="81"/>
        <v>532.32535822338014</v>
      </c>
      <c r="AV43" s="22">
        <f t="shared" si="65"/>
        <v>22685.12643693246</v>
      </c>
    </row>
    <row r="44" spans="1:48" s="22" customFormat="1">
      <c r="A44" s="27">
        <f>A42+A43</f>
        <v>2192.3128529708379</v>
      </c>
      <c r="B44" s="27">
        <f>B42+B43</f>
        <v>602.51630133776416</v>
      </c>
      <c r="C44" s="28" t="s">
        <v>506</v>
      </c>
      <c r="D44" s="158">
        <f>SUM(D42:D43)</f>
        <v>67961.698442095978</v>
      </c>
      <c r="E44" s="158">
        <f t="shared" ref="E44:O44" si="82">SUM(E42:E43)</f>
        <v>67961.698442095978</v>
      </c>
      <c r="F44" s="158">
        <f t="shared" si="82"/>
        <v>79597.134704826822</v>
      </c>
      <c r="G44" s="158">
        <f t="shared" si="82"/>
        <v>183192.94107294339</v>
      </c>
      <c r="H44" s="158">
        <f t="shared" si="82"/>
        <v>306474.64797356189</v>
      </c>
      <c r="I44" s="158">
        <f t="shared" si="82"/>
        <v>451041.56283264642</v>
      </c>
      <c r="J44" s="158">
        <f t="shared" si="82"/>
        <v>515058.91984978388</v>
      </c>
      <c r="K44" s="158">
        <f t="shared" si="82"/>
        <v>422442.65345983859</v>
      </c>
      <c r="L44" s="158">
        <f t="shared" si="82"/>
        <v>338371.01448248455</v>
      </c>
      <c r="M44" s="158">
        <f t="shared" si="82"/>
        <v>195852.65504794841</v>
      </c>
      <c r="N44" s="158">
        <f t="shared" si="82"/>
        <v>108932.80693306393</v>
      </c>
      <c r="O44" s="158">
        <f t="shared" si="82"/>
        <v>65769.38558912513</v>
      </c>
      <c r="P44" s="22">
        <f t="shared" si="60"/>
        <v>2802657.118830415</v>
      </c>
      <c r="Q44" s="27">
        <f>Q42+Q43</f>
        <v>2210.0570315782838</v>
      </c>
      <c r="R44" s="27">
        <f>R42+R43</f>
        <v>607.39323867647772</v>
      </c>
      <c r="S44" s="28" t="s">
        <v>506</v>
      </c>
      <c r="T44" s="158">
        <f t="shared" ref="T44:AE44" si="83">SUM(T42:T43)</f>
        <v>68511.7679789268</v>
      </c>
      <c r="U44" s="158">
        <f t="shared" si="83"/>
        <v>68511.7679789268</v>
      </c>
      <c r="V44" s="158">
        <f t="shared" si="83"/>
        <v>80241.385774973678</v>
      </c>
      <c r="W44" s="158">
        <f t="shared" si="83"/>
        <v>184675.72487580319</v>
      </c>
      <c r="X44" s="158">
        <f t="shared" si="83"/>
        <v>308955.30979860137</v>
      </c>
      <c r="Y44" s="158">
        <f t="shared" si="83"/>
        <v>454692.38912943134</v>
      </c>
      <c r="Z44" s="158">
        <f t="shared" si="83"/>
        <v>519227.92073880712</v>
      </c>
      <c r="AA44" s="158">
        <f t="shared" si="83"/>
        <v>425861.99516107125</v>
      </c>
      <c r="AB44" s="158">
        <f t="shared" si="83"/>
        <v>341109.85349693004</v>
      </c>
      <c r="AC44" s="158">
        <f t="shared" si="83"/>
        <v>197437.91117760006</v>
      </c>
      <c r="AD44" s="158">
        <f t="shared" si="83"/>
        <v>109814.50820892729</v>
      </c>
      <c r="AE44" s="158">
        <f t="shared" si="83"/>
        <v>66301.710947348503</v>
      </c>
      <c r="AF44" s="22">
        <f t="shared" si="63"/>
        <v>2825342.2452673474</v>
      </c>
      <c r="AG44" s="27">
        <f>AG42+AG43</f>
        <v>2230.9325358223377</v>
      </c>
      <c r="AH44" s="27">
        <f>AH42+AH43</f>
        <v>613.13081201614079</v>
      </c>
      <c r="AI44" s="28" t="s">
        <v>506</v>
      </c>
      <c r="AJ44" s="158">
        <f t="shared" ref="AJ44:AU44" si="84">SUM(AJ42:AJ43)</f>
        <v>69061.837515757623</v>
      </c>
      <c r="AK44" s="158">
        <f t="shared" si="84"/>
        <v>69061.837515757623</v>
      </c>
      <c r="AL44" s="158">
        <f t="shared" si="84"/>
        <v>80885.636845120534</v>
      </c>
      <c r="AM44" s="158">
        <f t="shared" si="84"/>
        <v>186158.50867866297</v>
      </c>
      <c r="AN44" s="158">
        <f t="shared" si="84"/>
        <v>311435.97162364086</v>
      </c>
      <c r="AO44" s="158">
        <f t="shared" si="84"/>
        <v>458343.21542621625</v>
      </c>
      <c r="AP44" s="158">
        <f t="shared" si="84"/>
        <v>523396.92162783031</v>
      </c>
      <c r="AQ44" s="158">
        <f t="shared" si="84"/>
        <v>429281.33686230384</v>
      </c>
      <c r="AR44" s="158">
        <f t="shared" si="84"/>
        <v>343848.69251137547</v>
      </c>
      <c r="AS44" s="158">
        <f t="shared" si="84"/>
        <v>199023.16730725169</v>
      </c>
      <c r="AT44" s="158">
        <f t="shared" si="84"/>
        <v>110696.20948479064</v>
      </c>
      <c r="AU44" s="158">
        <f t="shared" si="84"/>
        <v>66834.036305571892</v>
      </c>
      <c r="AV44" s="22">
        <f t="shared" si="65"/>
        <v>2848027.3717042794</v>
      </c>
    </row>
    <row r="45" spans="1:48" s="22" customFormat="1">
      <c r="A45" s="28"/>
      <c r="B45" s="28"/>
      <c r="C45" s="28" t="s">
        <v>653</v>
      </c>
      <c r="D45" s="158">
        <f>D44</f>
        <v>67961.698442095978</v>
      </c>
      <c r="E45" s="158">
        <f>D45+E44</f>
        <v>135923.39688419196</v>
      </c>
      <c r="F45" s="158">
        <f t="shared" ref="F45:O45" si="85">E45+F44</f>
        <v>215520.53158901876</v>
      </c>
      <c r="G45" s="158">
        <f t="shared" si="85"/>
        <v>398713.47266196215</v>
      </c>
      <c r="H45" s="158">
        <f t="shared" si="85"/>
        <v>705188.12063552404</v>
      </c>
      <c r="I45" s="158">
        <f t="shared" si="85"/>
        <v>1156229.6834681705</v>
      </c>
      <c r="J45" s="158">
        <f t="shared" si="85"/>
        <v>1671288.6033179543</v>
      </c>
      <c r="K45" s="158">
        <f t="shared" si="85"/>
        <v>2093731.2567777929</v>
      </c>
      <c r="L45" s="158">
        <f t="shared" si="85"/>
        <v>2432102.2712602774</v>
      </c>
      <c r="M45" s="158">
        <f t="shared" si="85"/>
        <v>2627954.9263082258</v>
      </c>
      <c r="N45" s="158">
        <f t="shared" si="85"/>
        <v>2736887.7332412899</v>
      </c>
      <c r="O45" s="158">
        <f t="shared" si="85"/>
        <v>2802657.118830415</v>
      </c>
      <c r="Q45" s="131"/>
      <c r="R45" s="131"/>
      <c r="S45" s="28" t="s">
        <v>653</v>
      </c>
      <c r="T45" s="158">
        <f>T44</f>
        <v>68511.7679789268</v>
      </c>
      <c r="U45" s="158">
        <f t="shared" ref="U45:AE45" si="86">T45+U44</f>
        <v>137023.5359578536</v>
      </c>
      <c r="V45" s="158">
        <f t="shared" si="86"/>
        <v>217264.92173282726</v>
      </c>
      <c r="W45" s="158">
        <f t="shared" si="86"/>
        <v>401940.64660863043</v>
      </c>
      <c r="X45" s="158">
        <f t="shared" si="86"/>
        <v>710895.95640723174</v>
      </c>
      <c r="Y45" s="158">
        <f t="shared" si="86"/>
        <v>1165588.3455366632</v>
      </c>
      <c r="Z45" s="158">
        <f t="shared" si="86"/>
        <v>1684816.2662754704</v>
      </c>
      <c r="AA45" s="158">
        <f t="shared" si="86"/>
        <v>2110678.2614365416</v>
      </c>
      <c r="AB45" s="158">
        <f t="shared" si="86"/>
        <v>2451788.1149334717</v>
      </c>
      <c r="AC45" s="158">
        <f t="shared" si="86"/>
        <v>2649226.0261110719</v>
      </c>
      <c r="AD45" s="158">
        <f t="shared" si="86"/>
        <v>2759040.5343199992</v>
      </c>
      <c r="AE45" s="158">
        <f t="shared" si="86"/>
        <v>2825342.2452673474</v>
      </c>
      <c r="AG45" s="131"/>
      <c r="AH45" s="131"/>
      <c r="AI45" s="28" t="s">
        <v>653</v>
      </c>
      <c r="AJ45" s="158">
        <f>AJ44</f>
        <v>69061.837515757623</v>
      </c>
      <c r="AK45" s="158">
        <f t="shared" ref="AK45:AU45" si="87">AJ45+AK44</f>
        <v>138123.67503151525</v>
      </c>
      <c r="AL45" s="158">
        <f t="shared" si="87"/>
        <v>219009.31187663577</v>
      </c>
      <c r="AM45" s="158">
        <f t="shared" si="87"/>
        <v>405167.82055529871</v>
      </c>
      <c r="AN45" s="158">
        <f t="shared" si="87"/>
        <v>716603.79217893956</v>
      </c>
      <c r="AO45" s="158">
        <f t="shared" si="87"/>
        <v>1174947.0076051559</v>
      </c>
      <c r="AP45" s="158">
        <f t="shared" si="87"/>
        <v>1698343.9292329862</v>
      </c>
      <c r="AQ45" s="158">
        <f t="shared" si="87"/>
        <v>2127625.26609529</v>
      </c>
      <c r="AR45" s="158">
        <f t="shared" si="87"/>
        <v>2471473.9586066655</v>
      </c>
      <c r="AS45" s="158">
        <f t="shared" si="87"/>
        <v>2670497.1259139171</v>
      </c>
      <c r="AT45" s="158">
        <f t="shared" si="87"/>
        <v>2781193.3353987075</v>
      </c>
      <c r="AU45" s="158">
        <f t="shared" si="87"/>
        <v>2848027.3717042794</v>
      </c>
    </row>
    <row r="46" spans="1:48" s="22" customFormat="1">
      <c r="A46" s="132">
        <v>2310.5</v>
      </c>
      <c r="B46" s="132">
        <v>227.7</v>
      </c>
      <c r="C46" s="22" t="s">
        <v>408</v>
      </c>
      <c r="D46" s="158">
        <f t="shared" ref="D46:O46" si="88">(D36*$A$46)+(D2*$B$46)</f>
        <v>71625.5</v>
      </c>
      <c r="E46" s="158">
        <f t="shared" si="88"/>
        <v>71625.5</v>
      </c>
      <c r="F46" s="158">
        <f t="shared" si="88"/>
        <v>74540.714999999997</v>
      </c>
      <c r="G46" s="158">
        <f t="shared" si="88"/>
        <v>115173.125</v>
      </c>
      <c r="H46" s="158">
        <f t="shared" si="88"/>
        <v>160281.15</v>
      </c>
      <c r="I46" s="158">
        <f t="shared" si="88"/>
        <v>216397.15999999997</v>
      </c>
      <c r="J46" s="158">
        <f t="shared" si="88"/>
        <v>240590.28499999997</v>
      </c>
      <c r="K46" s="158">
        <f t="shared" si="88"/>
        <v>201143.22500000001</v>
      </c>
      <c r="L46" s="158">
        <f t="shared" si="88"/>
        <v>173817.26</v>
      </c>
      <c r="M46" s="158">
        <f t="shared" si="88"/>
        <v>118475.43</v>
      </c>
      <c r="N46" s="158">
        <f t="shared" si="88"/>
        <v>87109.1</v>
      </c>
      <c r="O46" s="158">
        <f t="shared" si="88"/>
        <v>69315</v>
      </c>
      <c r="P46" s="22">
        <f>SUM(D46:O46)</f>
        <v>1600093.45</v>
      </c>
      <c r="Q46" s="28">
        <f>A46</f>
        <v>2310.5</v>
      </c>
      <c r="R46" s="28">
        <f>B46</f>
        <v>227.7</v>
      </c>
      <c r="S46" s="22" t="s">
        <v>408</v>
      </c>
      <c r="T46" s="158">
        <f t="shared" ref="T46:AE46" si="89">(T36*$Q$46)+(T2*$R$46)</f>
        <v>71625.5</v>
      </c>
      <c r="U46" s="158">
        <f t="shared" si="89"/>
        <v>71625.5</v>
      </c>
      <c r="V46" s="158">
        <f t="shared" si="89"/>
        <v>74540.714999999997</v>
      </c>
      <c r="W46" s="158">
        <f t="shared" si="89"/>
        <v>115173.125</v>
      </c>
      <c r="X46" s="158">
        <f t="shared" si="89"/>
        <v>160281.15</v>
      </c>
      <c r="Y46" s="158">
        <f t="shared" si="89"/>
        <v>216397.15999999997</v>
      </c>
      <c r="Z46" s="158">
        <f t="shared" si="89"/>
        <v>240590.28499999997</v>
      </c>
      <c r="AA46" s="158">
        <f t="shared" si="89"/>
        <v>201143.22500000001</v>
      </c>
      <c r="AB46" s="158">
        <f t="shared" si="89"/>
        <v>173817.26</v>
      </c>
      <c r="AC46" s="158">
        <f t="shared" si="89"/>
        <v>118475.43</v>
      </c>
      <c r="AD46" s="158">
        <f t="shared" si="89"/>
        <v>87109.1</v>
      </c>
      <c r="AE46" s="158">
        <f t="shared" si="89"/>
        <v>69315</v>
      </c>
      <c r="AF46" s="22">
        <f>SUM(T46:AE46)</f>
        <v>1600093.45</v>
      </c>
      <c r="AG46" s="28">
        <f>Q46</f>
        <v>2310.5</v>
      </c>
      <c r="AH46" s="28">
        <f>R46</f>
        <v>227.7</v>
      </c>
      <c r="AI46" s="22" t="s">
        <v>408</v>
      </c>
      <c r="AJ46" s="158">
        <f t="shared" ref="AJ46:AU46" si="90">(AJ36*$Q$46)+(AJ2*$R$46)</f>
        <v>71625.5</v>
      </c>
      <c r="AK46" s="158">
        <f t="shared" si="90"/>
        <v>71625.5</v>
      </c>
      <c r="AL46" s="158">
        <f t="shared" si="90"/>
        <v>74540.714999999997</v>
      </c>
      <c r="AM46" s="158">
        <f t="shared" si="90"/>
        <v>115173.125</v>
      </c>
      <c r="AN46" s="158">
        <f t="shared" si="90"/>
        <v>160281.15</v>
      </c>
      <c r="AO46" s="158">
        <f t="shared" si="90"/>
        <v>216397.15999999997</v>
      </c>
      <c r="AP46" s="158">
        <f t="shared" si="90"/>
        <v>240590.28499999997</v>
      </c>
      <c r="AQ46" s="158">
        <f t="shared" si="90"/>
        <v>201143.22500000001</v>
      </c>
      <c r="AR46" s="158">
        <f t="shared" si="90"/>
        <v>173817.26</v>
      </c>
      <c r="AS46" s="158">
        <f t="shared" si="90"/>
        <v>118475.43</v>
      </c>
      <c r="AT46" s="158">
        <f t="shared" si="90"/>
        <v>87109.1</v>
      </c>
      <c r="AU46" s="158">
        <f t="shared" si="90"/>
        <v>69315</v>
      </c>
      <c r="AV46" s="22">
        <f>SUM(AJ46:AU46)</f>
        <v>1600093.45</v>
      </c>
    </row>
    <row r="47" spans="1:48" s="22" customFormat="1">
      <c r="A47" s="28"/>
      <c r="B47" s="28"/>
      <c r="C47" s="22" t="s">
        <v>654</v>
      </c>
      <c r="D47" s="158">
        <f>D46</f>
        <v>71625.5</v>
      </c>
      <c r="E47" s="158">
        <f>D47+E46</f>
        <v>143251</v>
      </c>
      <c r="F47" s="158">
        <f t="shared" ref="F47:O47" si="91">E47+F46</f>
        <v>217791.715</v>
      </c>
      <c r="G47" s="158">
        <f t="shared" si="91"/>
        <v>332964.83999999997</v>
      </c>
      <c r="H47" s="158">
        <f t="shared" si="91"/>
        <v>493245.99</v>
      </c>
      <c r="I47" s="158">
        <f t="shared" si="91"/>
        <v>709643.14999999991</v>
      </c>
      <c r="J47" s="158">
        <f t="shared" si="91"/>
        <v>950233.43499999982</v>
      </c>
      <c r="K47" s="158">
        <f t="shared" si="91"/>
        <v>1151376.6599999999</v>
      </c>
      <c r="L47" s="158">
        <f t="shared" si="91"/>
        <v>1325193.92</v>
      </c>
      <c r="M47" s="158">
        <f t="shared" si="91"/>
        <v>1443669.3499999999</v>
      </c>
      <c r="N47" s="158">
        <f t="shared" si="91"/>
        <v>1530778.45</v>
      </c>
      <c r="O47" s="158">
        <f t="shared" si="91"/>
        <v>1600093.45</v>
      </c>
      <c r="Q47" s="131"/>
      <c r="R47" s="131"/>
      <c r="S47" s="22" t="s">
        <v>654</v>
      </c>
      <c r="T47" s="158">
        <f>T46</f>
        <v>71625.5</v>
      </c>
      <c r="U47" s="158">
        <f t="shared" ref="U47:AE47" si="92">T47+U46</f>
        <v>143251</v>
      </c>
      <c r="V47" s="158">
        <f t="shared" si="92"/>
        <v>217791.715</v>
      </c>
      <c r="W47" s="158">
        <f t="shared" si="92"/>
        <v>332964.83999999997</v>
      </c>
      <c r="X47" s="158">
        <f t="shared" si="92"/>
        <v>493245.99</v>
      </c>
      <c r="Y47" s="158">
        <f t="shared" si="92"/>
        <v>709643.14999999991</v>
      </c>
      <c r="Z47" s="158">
        <f t="shared" si="92"/>
        <v>950233.43499999982</v>
      </c>
      <c r="AA47" s="158">
        <f t="shared" si="92"/>
        <v>1151376.6599999999</v>
      </c>
      <c r="AB47" s="158">
        <f t="shared" si="92"/>
        <v>1325193.92</v>
      </c>
      <c r="AC47" s="158">
        <f t="shared" si="92"/>
        <v>1443669.3499999999</v>
      </c>
      <c r="AD47" s="158">
        <f t="shared" si="92"/>
        <v>1530778.45</v>
      </c>
      <c r="AE47" s="158">
        <f t="shared" si="92"/>
        <v>1600093.45</v>
      </c>
      <c r="AG47" s="131"/>
      <c r="AH47" s="131"/>
      <c r="AI47" s="22" t="s">
        <v>654</v>
      </c>
      <c r="AJ47" s="158">
        <f>AJ46</f>
        <v>71625.5</v>
      </c>
      <c r="AK47" s="158">
        <f t="shared" ref="AK47:AU47" si="93">AJ47+AK46</f>
        <v>143251</v>
      </c>
      <c r="AL47" s="158">
        <f t="shared" si="93"/>
        <v>217791.715</v>
      </c>
      <c r="AM47" s="158">
        <f t="shared" si="93"/>
        <v>332964.83999999997</v>
      </c>
      <c r="AN47" s="158">
        <f t="shared" si="93"/>
        <v>493245.99</v>
      </c>
      <c r="AO47" s="158">
        <f t="shared" si="93"/>
        <v>709643.14999999991</v>
      </c>
      <c r="AP47" s="158">
        <f t="shared" si="93"/>
        <v>950233.43499999982</v>
      </c>
      <c r="AQ47" s="158">
        <f t="shared" si="93"/>
        <v>1151376.6599999999</v>
      </c>
      <c r="AR47" s="158">
        <f t="shared" si="93"/>
        <v>1325193.92</v>
      </c>
      <c r="AS47" s="158">
        <f t="shared" si="93"/>
        <v>1443669.3499999999</v>
      </c>
      <c r="AT47" s="158">
        <f t="shared" si="93"/>
        <v>1530778.45</v>
      </c>
      <c r="AU47" s="158">
        <f t="shared" si="93"/>
        <v>1600093.45</v>
      </c>
    </row>
    <row r="48" spans="1:48" s="22" customFormat="1">
      <c r="A48" s="132">
        <v>102</v>
      </c>
      <c r="B48" s="132">
        <v>67.2</v>
      </c>
      <c r="C48" s="22" t="s">
        <v>504</v>
      </c>
      <c r="D48" s="158">
        <f t="shared" ref="D48:O48" si="94">(D36*$A$48)+(D2*$B$48)</f>
        <v>3162</v>
      </c>
      <c r="E48" s="158">
        <f t="shared" si="94"/>
        <v>3162</v>
      </c>
      <c r="F48" s="158">
        <f t="shared" si="94"/>
        <v>4602.24</v>
      </c>
      <c r="G48" s="158">
        <f t="shared" si="94"/>
        <v>16014</v>
      </c>
      <c r="H48" s="158">
        <f t="shared" si="94"/>
        <v>29906.400000000001</v>
      </c>
      <c r="I48" s="158">
        <f t="shared" si="94"/>
        <v>45887.76</v>
      </c>
      <c r="J48" s="158">
        <f t="shared" si="94"/>
        <v>53027.76</v>
      </c>
      <c r="K48" s="158">
        <f t="shared" si="94"/>
        <v>43125.599999999999</v>
      </c>
      <c r="L48" s="158">
        <f t="shared" si="94"/>
        <v>33321.360000000001</v>
      </c>
      <c r="M48" s="158">
        <f t="shared" si="94"/>
        <v>17568.480000000003</v>
      </c>
      <c r="N48" s="158">
        <f t="shared" si="94"/>
        <v>7731.6</v>
      </c>
      <c r="O48" s="158">
        <f t="shared" si="94"/>
        <v>3060</v>
      </c>
      <c r="P48" s="22">
        <f t="shared" si="60"/>
        <v>260569.2</v>
      </c>
      <c r="Q48" s="28">
        <f>A48</f>
        <v>102</v>
      </c>
      <c r="R48" s="28">
        <f>B48</f>
        <v>67.2</v>
      </c>
      <c r="S48" s="22" t="s">
        <v>504</v>
      </c>
      <c r="T48" s="158">
        <f t="shared" ref="T48:AE48" si="95">(T36*$Q$48)+(T2*$R$48)</f>
        <v>3162</v>
      </c>
      <c r="U48" s="158">
        <f t="shared" si="95"/>
        <v>3162</v>
      </c>
      <c r="V48" s="158">
        <f t="shared" si="95"/>
        <v>4602.24</v>
      </c>
      <c r="W48" s="158">
        <f t="shared" si="95"/>
        <v>16014</v>
      </c>
      <c r="X48" s="158">
        <f t="shared" si="95"/>
        <v>29906.400000000001</v>
      </c>
      <c r="Y48" s="158">
        <f t="shared" si="95"/>
        <v>45887.76</v>
      </c>
      <c r="Z48" s="158">
        <f t="shared" si="95"/>
        <v>53027.76</v>
      </c>
      <c r="AA48" s="158">
        <f t="shared" si="95"/>
        <v>43125.599999999999</v>
      </c>
      <c r="AB48" s="158">
        <f t="shared" si="95"/>
        <v>33321.360000000001</v>
      </c>
      <c r="AC48" s="158">
        <f t="shared" si="95"/>
        <v>17568.480000000003</v>
      </c>
      <c r="AD48" s="158">
        <f t="shared" si="95"/>
        <v>7731.6</v>
      </c>
      <c r="AE48" s="158">
        <f t="shared" si="95"/>
        <v>3060</v>
      </c>
      <c r="AF48" s="22">
        <f t="shared" si="63"/>
        <v>260569.2</v>
      </c>
      <c r="AG48" s="28">
        <f>Q48</f>
        <v>102</v>
      </c>
      <c r="AH48" s="28">
        <f>R48</f>
        <v>67.2</v>
      </c>
      <c r="AI48" s="22" t="s">
        <v>504</v>
      </c>
      <c r="AJ48" s="158">
        <f t="shared" ref="AJ48:AU48" si="96">(AJ36*$Q$48)+(AJ2*$R$48)</f>
        <v>3162</v>
      </c>
      <c r="AK48" s="158">
        <f t="shared" si="96"/>
        <v>3162</v>
      </c>
      <c r="AL48" s="158">
        <f t="shared" si="96"/>
        <v>4602.24</v>
      </c>
      <c r="AM48" s="158">
        <f t="shared" si="96"/>
        <v>16014</v>
      </c>
      <c r="AN48" s="158">
        <f t="shared" si="96"/>
        <v>29906.400000000001</v>
      </c>
      <c r="AO48" s="158">
        <f t="shared" si="96"/>
        <v>45887.76</v>
      </c>
      <c r="AP48" s="158">
        <f t="shared" si="96"/>
        <v>53027.76</v>
      </c>
      <c r="AQ48" s="158">
        <f t="shared" si="96"/>
        <v>43125.599999999999</v>
      </c>
      <c r="AR48" s="158">
        <f t="shared" si="96"/>
        <v>33321.360000000001</v>
      </c>
      <c r="AS48" s="158">
        <f t="shared" si="96"/>
        <v>17568.480000000003</v>
      </c>
      <c r="AT48" s="158">
        <f t="shared" si="96"/>
        <v>7731.6</v>
      </c>
      <c r="AU48" s="158">
        <f t="shared" si="96"/>
        <v>3060</v>
      </c>
      <c r="AV48" s="22">
        <f t="shared" si="65"/>
        <v>260569.2</v>
      </c>
    </row>
    <row r="49" spans="1:48" s="22" customFormat="1">
      <c r="A49" s="28"/>
      <c r="B49" s="28"/>
      <c r="C49" s="22" t="s">
        <v>655</v>
      </c>
      <c r="D49" s="158">
        <f>D48</f>
        <v>3162</v>
      </c>
      <c r="E49" s="158">
        <f>D49+E48</f>
        <v>6324</v>
      </c>
      <c r="F49" s="158">
        <f t="shared" ref="F49:O49" si="97">E49+F48</f>
        <v>10926.24</v>
      </c>
      <c r="G49" s="158">
        <f t="shared" si="97"/>
        <v>26940.239999999998</v>
      </c>
      <c r="H49" s="158">
        <f t="shared" si="97"/>
        <v>56846.64</v>
      </c>
      <c r="I49" s="158">
        <f t="shared" si="97"/>
        <v>102734.39999999999</v>
      </c>
      <c r="J49" s="158">
        <f t="shared" si="97"/>
        <v>155762.16</v>
      </c>
      <c r="K49" s="158">
        <f t="shared" si="97"/>
        <v>198887.76</v>
      </c>
      <c r="L49" s="158">
        <f t="shared" si="97"/>
        <v>232209.12</v>
      </c>
      <c r="M49" s="158">
        <f t="shared" si="97"/>
        <v>249777.6</v>
      </c>
      <c r="N49" s="158">
        <f t="shared" si="97"/>
        <v>257509.2</v>
      </c>
      <c r="O49" s="158">
        <f t="shared" si="97"/>
        <v>260569.2</v>
      </c>
      <c r="Q49" s="131"/>
      <c r="R49" s="131"/>
      <c r="S49" s="22" t="s">
        <v>655</v>
      </c>
      <c r="T49" s="158">
        <f>T48</f>
        <v>3162</v>
      </c>
      <c r="U49" s="158">
        <f t="shared" ref="U49:AE49" si="98">T49+U48</f>
        <v>6324</v>
      </c>
      <c r="V49" s="158">
        <f t="shared" si="98"/>
        <v>10926.24</v>
      </c>
      <c r="W49" s="158">
        <f t="shared" si="98"/>
        <v>26940.239999999998</v>
      </c>
      <c r="X49" s="158">
        <f t="shared" si="98"/>
        <v>56846.64</v>
      </c>
      <c r="Y49" s="158">
        <f t="shared" si="98"/>
        <v>102734.39999999999</v>
      </c>
      <c r="Z49" s="158">
        <f t="shared" si="98"/>
        <v>155762.16</v>
      </c>
      <c r="AA49" s="158">
        <f t="shared" si="98"/>
        <v>198887.76</v>
      </c>
      <c r="AB49" s="158">
        <f t="shared" si="98"/>
        <v>232209.12</v>
      </c>
      <c r="AC49" s="158">
        <f t="shared" si="98"/>
        <v>249777.6</v>
      </c>
      <c r="AD49" s="158">
        <f t="shared" si="98"/>
        <v>257509.2</v>
      </c>
      <c r="AE49" s="158">
        <f t="shared" si="98"/>
        <v>260569.2</v>
      </c>
      <c r="AG49" s="131"/>
      <c r="AH49" s="131"/>
      <c r="AI49" s="22" t="s">
        <v>655</v>
      </c>
      <c r="AJ49" s="158">
        <f>AJ48</f>
        <v>3162</v>
      </c>
      <c r="AK49" s="158">
        <f t="shared" ref="AK49:AU49" si="99">AJ49+AK48</f>
        <v>6324</v>
      </c>
      <c r="AL49" s="158">
        <f t="shared" si="99"/>
        <v>10926.24</v>
      </c>
      <c r="AM49" s="158">
        <f t="shared" si="99"/>
        <v>26940.239999999998</v>
      </c>
      <c r="AN49" s="158">
        <f t="shared" si="99"/>
        <v>56846.64</v>
      </c>
      <c r="AO49" s="158">
        <f t="shared" si="99"/>
        <v>102734.39999999999</v>
      </c>
      <c r="AP49" s="158">
        <f t="shared" si="99"/>
        <v>155762.16</v>
      </c>
      <c r="AQ49" s="158">
        <f t="shared" si="99"/>
        <v>198887.76</v>
      </c>
      <c r="AR49" s="158">
        <f t="shared" si="99"/>
        <v>232209.12</v>
      </c>
      <c r="AS49" s="158">
        <f t="shared" si="99"/>
        <v>249777.6</v>
      </c>
      <c r="AT49" s="158">
        <f t="shared" si="99"/>
        <v>257509.2</v>
      </c>
      <c r="AU49" s="158">
        <f t="shared" si="99"/>
        <v>260569.2</v>
      </c>
    </row>
    <row r="50" spans="1:48" s="22" customFormat="1">
      <c r="A50" s="131"/>
      <c r="B50" s="131"/>
      <c r="C50" s="28" t="s">
        <v>409</v>
      </c>
      <c r="D50" s="158">
        <f t="shared" ref="D50:O50" si="100">SUM(D37,D42,D48,D46)</f>
        <v>264222.3</v>
      </c>
      <c r="E50" s="158">
        <f t="shared" si="100"/>
        <v>264222.3</v>
      </c>
      <c r="F50" s="158">
        <f t="shared" si="100"/>
        <v>310159.34999999998</v>
      </c>
      <c r="G50" s="158">
        <f t="shared" si="100"/>
        <v>718058.55</v>
      </c>
      <c r="H50" s="158">
        <f t="shared" si="100"/>
        <v>1203712.5</v>
      </c>
      <c r="I50" s="158">
        <f t="shared" si="100"/>
        <v>1772975.6999999997</v>
      </c>
      <c r="J50" s="158">
        <f t="shared" si="100"/>
        <v>2025106.95</v>
      </c>
      <c r="K50" s="158">
        <f t="shared" si="100"/>
        <v>1660672.6500000001</v>
      </c>
      <c r="L50" s="158">
        <f t="shared" si="100"/>
        <v>1329224.7000000002</v>
      </c>
      <c r="M50" s="158">
        <f t="shared" si="100"/>
        <v>768029.7</v>
      </c>
      <c r="N50" s="158">
        <f t="shared" si="100"/>
        <v>425586.29999999993</v>
      </c>
      <c r="O50" s="158">
        <f t="shared" si="100"/>
        <v>255699</v>
      </c>
      <c r="P50" s="22">
        <f t="shared" si="60"/>
        <v>10997670</v>
      </c>
      <c r="Q50" s="131"/>
      <c r="R50" s="131"/>
      <c r="S50" s="28" t="s">
        <v>409</v>
      </c>
      <c r="T50" s="158">
        <f t="shared" ref="T50:AE50" si="101">SUM(T37,T42,T48,T46)</f>
        <v>265455.36197752296</v>
      </c>
      <c r="U50" s="158">
        <f t="shared" si="101"/>
        <v>265455.36197752296</v>
      </c>
      <c r="V50" s="158">
        <f t="shared" si="101"/>
        <v>311662.06562571833</v>
      </c>
      <c r="W50" s="158">
        <f t="shared" si="101"/>
        <v>721870.19398601213</v>
      </c>
      <c r="X50" s="158">
        <f t="shared" si="101"/>
        <v>1210292.1570913212</v>
      </c>
      <c r="Y50" s="158">
        <f t="shared" si="101"/>
        <v>1782781.1146101886</v>
      </c>
      <c r="Z50" s="158">
        <f t="shared" si="101"/>
        <v>2036344.9101704606</v>
      </c>
      <c r="AA50" s="158">
        <f t="shared" si="101"/>
        <v>1669865.9403589854</v>
      </c>
      <c r="AB50" s="158">
        <f t="shared" si="101"/>
        <v>1336508.8344241106</v>
      </c>
      <c r="AC50" s="158">
        <f t="shared" si="101"/>
        <v>772133.91836317163</v>
      </c>
      <c r="AD50" s="158">
        <f t="shared" si="101"/>
        <v>427736.19113609684</v>
      </c>
      <c r="AE50" s="158">
        <f t="shared" si="101"/>
        <v>256892.28578469966</v>
      </c>
      <c r="AF50" s="22">
        <f t="shared" si="63"/>
        <v>11056998.335505811</v>
      </c>
      <c r="AG50" s="131"/>
      <c r="AH50" s="131"/>
      <c r="AI50" s="28" t="s">
        <v>409</v>
      </c>
      <c r="AJ50" s="158">
        <f t="shared" ref="AJ50:AU50" si="102">SUM(AJ37,AJ42,AJ48,AJ46)</f>
        <v>266941.50775686622</v>
      </c>
      <c r="AK50" s="158">
        <f t="shared" si="102"/>
        <v>266941.50775686622</v>
      </c>
      <c r="AL50" s="158">
        <f t="shared" si="102"/>
        <v>313472.90380093502</v>
      </c>
      <c r="AM50" s="158">
        <f t="shared" si="102"/>
        <v>726461.61128455424</v>
      </c>
      <c r="AN50" s="158">
        <f t="shared" si="102"/>
        <v>1218216.9298576717</v>
      </c>
      <c r="AO50" s="158">
        <f t="shared" si="102"/>
        <v>1794590.5630400246</v>
      </c>
      <c r="AP50" s="158">
        <f t="shared" si="102"/>
        <v>2049879.5094442959</v>
      </c>
      <c r="AQ50" s="158">
        <f t="shared" si="102"/>
        <v>1680938.1163391944</v>
      </c>
      <c r="AR50" s="158">
        <f t="shared" si="102"/>
        <v>1345282.0173685076</v>
      </c>
      <c r="AS50" s="158">
        <f t="shared" si="102"/>
        <v>777077.63047109148</v>
      </c>
      <c r="AT50" s="158">
        <f t="shared" si="102"/>
        <v>430326.4334555997</v>
      </c>
      <c r="AU50" s="158">
        <f t="shared" si="102"/>
        <v>258330.49137761246</v>
      </c>
      <c r="AV50" s="22">
        <f t="shared" si="65"/>
        <v>11128459.221953221</v>
      </c>
    </row>
    <row r="51" spans="1:48" s="22" customFormat="1">
      <c r="A51" s="297">
        <f>SUM(A38,A43)</f>
        <v>39.776192823321942</v>
      </c>
      <c r="B51" s="297">
        <f>SUM(B38,B43)</f>
        <v>13.482781743733733</v>
      </c>
      <c r="C51" s="28" t="s">
        <v>410</v>
      </c>
      <c r="D51" s="158">
        <f>SUM(D38,D43)</f>
        <v>1233.0619775229802</v>
      </c>
      <c r="E51" s="158">
        <f t="shared" ref="E51:O51" si="103">SUM(E38,E43)</f>
        <v>1233.0619775229802</v>
      </c>
      <c r="F51" s="158">
        <f t="shared" si="103"/>
        <v>1502.7156257183474</v>
      </c>
      <c r="G51" s="158">
        <f t="shared" si="103"/>
        <v>3811.6439860120568</v>
      </c>
      <c r="H51" s="158">
        <f t="shared" si="103"/>
        <v>6579.6570913212854</v>
      </c>
      <c r="I51" s="158">
        <f t="shared" si="103"/>
        <v>9805.4146101888873</v>
      </c>
      <c r="J51" s="158">
        <f t="shared" si="103"/>
        <v>11237.960170460596</v>
      </c>
      <c r="K51" s="158">
        <f t="shared" si="103"/>
        <v>9193.2903589854541</v>
      </c>
      <c r="L51" s="158">
        <f t="shared" si="103"/>
        <v>7284.1344241106799</v>
      </c>
      <c r="M51" s="158">
        <f t="shared" si="103"/>
        <v>4104.2183631717708</v>
      </c>
      <c r="N51" s="158">
        <f t="shared" si="103"/>
        <v>2149.8911360968741</v>
      </c>
      <c r="O51" s="158">
        <f t="shared" si="103"/>
        <v>1193.2857846996583</v>
      </c>
      <c r="P51" s="22">
        <f t="shared" si="60"/>
        <v>59328.335505811563</v>
      </c>
      <c r="Q51" s="297">
        <f>SUM(Q38,Q43)</f>
        <v>47.940186430426877</v>
      </c>
      <c r="R51" s="297">
        <f>SUM(R38,R43)</f>
        <v>16.236713825877111</v>
      </c>
      <c r="S51" s="28" t="s">
        <v>410</v>
      </c>
      <c r="T51" s="158">
        <f>SUM(T38,T43)</f>
        <v>1486.1457793432332</v>
      </c>
      <c r="U51" s="158">
        <f t="shared" ref="U51:AE51" si="104">SUM(U38,U43)</f>
        <v>1486.1457793432332</v>
      </c>
      <c r="V51" s="158">
        <f t="shared" si="104"/>
        <v>1810.8381752166861</v>
      </c>
      <c r="W51" s="158">
        <f t="shared" si="104"/>
        <v>4591.4172985422301</v>
      </c>
      <c r="X51" s="158">
        <f t="shared" si="104"/>
        <v>7924.7727663507121</v>
      </c>
      <c r="Y51" s="158">
        <f t="shared" si="104"/>
        <v>11809.448429835898</v>
      </c>
      <c r="Z51" s="158">
        <f t="shared" si="104"/>
        <v>13534.599273835342</v>
      </c>
      <c r="AA51" s="158">
        <f t="shared" si="104"/>
        <v>11072.175980208811</v>
      </c>
      <c r="AB51" s="158">
        <f t="shared" si="104"/>
        <v>8773.18294439688</v>
      </c>
      <c r="AC51" s="158">
        <f t="shared" si="104"/>
        <v>4943.712107919675</v>
      </c>
      <c r="AD51" s="158">
        <f t="shared" si="104"/>
        <v>2590.2423195028769</v>
      </c>
      <c r="AE51" s="158">
        <f t="shared" si="104"/>
        <v>1438.2055929128064</v>
      </c>
      <c r="AF51" s="22">
        <f t="shared" si="63"/>
        <v>71460.886447408397</v>
      </c>
      <c r="AG51" s="297">
        <f>SUM(AG38,AG43)</f>
        <v>57.110713631631171</v>
      </c>
      <c r="AH51" s="297">
        <f>SUM(AH38,AH43)</f>
        <v>19.36930512425927</v>
      </c>
      <c r="AI51" s="28" t="s">
        <v>410</v>
      </c>
      <c r="AJ51" s="158">
        <f>SUM(AJ38,AJ43)</f>
        <v>1673.3610278457145</v>
      </c>
      <c r="AK51" s="158">
        <f t="shared" ref="AK51:AU51" si="105">SUM(AK38,AK43)</f>
        <v>1673.3610278457145</v>
      </c>
      <c r="AL51" s="158">
        <f t="shared" si="105"/>
        <v>2044.1555962306516</v>
      </c>
      <c r="AM51" s="158">
        <f t="shared" si="105"/>
        <v>5213.143997678716</v>
      </c>
      <c r="AN51" s="158">
        <f t="shared" si="105"/>
        <v>9013.5949546129632</v>
      </c>
      <c r="AO51" s="158">
        <f t="shared" si="105"/>
        <v>13441.172856446094</v>
      </c>
      <c r="AP51" s="158">
        <f t="shared" si="105"/>
        <v>15407.71895079776</v>
      </c>
      <c r="AQ51" s="158">
        <f t="shared" si="105"/>
        <v>12602.74283600405</v>
      </c>
      <c r="AR51" s="158">
        <f t="shared" si="105"/>
        <v>9980.0517303871584</v>
      </c>
      <c r="AS51" s="158">
        <f t="shared" si="105"/>
        <v>5615.40330357328</v>
      </c>
      <c r="AT51" s="158">
        <f t="shared" si="105"/>
        <v>2931.9505282307819</v>
      </c>
      <c r="AU51" s="158">
        <f t="shared" si="105"/>
        <v>1619.3816398506915</v>
      </c>
      <c r="AV51" s="22">
        <f t="shared" si="65"/>
        <v>81216.038449503583</v>
      </c>
    </row>
    <row r="52" spans="1:48" s="22" customFormat="1">
      <c r="A52" s="143">
        <f>SUM(A39,A44,A48,A46)</f>
        <v>8563.0761928233223</v>
      </c>
      <c r="B52" s="143">
        <f>SUM(B39,B44,B48,B46)</f>
        <v>2386.4827817437335</v>
      </c>
      <c r="C52" s="27" t="s">
        <v>411</v>
      </c>
      <c r="D52" s="158">
        <f>SUM(D50:D51)</f>
        <v>265455.36197752296</v>
      </c>
      <c r="E52" s="158">
        <f t="shared" ref="E52:O52" si="106">SUM(E50:E51)</f>
        <v>265455.36197752296</v>
      </c>
      <c r="F52" s="158">
        <f t="shared" si="106"/>
        <v>311662.06562571833</v>
      </c>
      <c r="G52" s="158">
        <f t="shared" si="106"/>
        <v>721870.19398601213</v>
      </c>
      <c r="H52" s="158">
        <f t="shared" si="106"/>
        <v>1210292.1570913212</v>
      </c>
      <c r="I52" s="158">
        <f t="shared" si="106"/>
        <v>1782781.1146101886</v>
      </c>
      <c r="J52" s="158">
        <f t="shared" si="106"/>
        <v>2036344.9101704606</v>
      </c>
      <c r="K52" s="158">
        <f t="shared" si="106"/>
        <v>1669865.9403589857</v>
      </c>
      <c r="L52" s="158">
        <f t="shared" si="106"/>
        <v>1336508.8344241108</v>
      </c>
      <c r="M52" s="158">
        <f t="shared" si="106"/>
        <v>772133.91836317175</v>
      </c>
      <c r="N52" s="158">
        <f t="shared" si="106"/>
        <v>427736.19113609678</v>
      </c>
      <c r="O52" s="158">
        <f t="shared" si="106"/>
        <v>256892.28578469966</v>
      </c>
      <c r="P52" s="143">
        <f t="shared" si="60"/>
        <v>11056998.335505811</v>
      </c>
      <c r="Q52" s="143">
        <f>SUM(Q39,Q44,Q48,Q46)</f>
        <v>8611.0163792537496</v>
      </c>
      <c r="R52" s="143">
        <f>SUM(R39,R44,R48,R46)</f>
        <v>2402.7194955696104</v>
      </c>
      <c r="S52" s="27" t="s">
        <v>411</v>
      </c>
      <c r="T52" s="158">
        <f t="shared" ref="T52:AE52" si="107">SUM(T50:T51)</f>
        <v>266941.50775686617</v>
      </c>
      <c r="U52" s="158">
        <f t="shared" si="107"/>
        <v>266941.50775686617</v>
      </c>
      <c r="V52" s="158">
        <f t="shared" si="107"/>
        <v>313472.90380093502</v>
      </c>
      <c r="W52" s="158">
        <f t="shared" si="107"/>
        <v>726461.61128455435</v>
      </c>
      <c r="X52" s="158">
        <f t="shared" si="107"/>
        <v>1218216.929857672</v>
      </c>
      <c r="Y52" s="158">
        <f t="shared" si="107"/>
        <v>1794590.5630400246</v>
      </c>
      <c r="Z52" s="158">
        <f t="shared" si="107"/>
        <v>2049879.5094442959</v>
      </c>
      <c r="AA52" s="158">
        <f t="shared" si="107"/>
        <v>1680938.1163391944</v>
      </c>
      <c r="AB52" s="158">
        <f t="shared" si="107"/>
        <v>1345282.0173685076</v>
      </c>
      <c r="AC52" s="158">
        <f t="shared" si="107"/>
        <v>777077.63047109125</v>
      </c>
      <c r="AD52" s="158">
        <f t="shared" si="107"/>
        <v>430326.4334555997</v>
      </c>
      <c r="AE52" s="158">
        <f t="shared" si="107"/>
        <v>258330.49137761246</v>
      </c>
      <c r="AF52" s="143">
        <f t="shared" si="63"/>
        <v>11128459.221953221</v>
      </c>
      <c r="AG52" s="143">
        <f>SUM(AG39,AG44,AG48,AG46)</f>
        <v>8668.1270928853792</v>
      </c>
      <c r="AH52" s="143">
        <f>SUM(AH39,AH44,AH48,AH46)</f>
        <v>2422.0888006938699</v>
      </c>
      <c r="AI52" s="27" t="s">
        <v>411</v>
      </c>
      <c r="AJ52" s="158">
        <f t="shared" ref="AJ52:AU52" si="108">SUM(AJ50:AJ51)</f>
        <v>268614.86878471193</v>
      </c>
      <c r="AK52" s="158">
        <f t="shared" si="108"/>
        <v>268614.86878471193</v>
      </c>
      <c r="AL52" s="158">
        <f t="shared" si="108"/>
        <v>315517.05939716566</v>
      </c>
      <c r="AM52" s="158">
        <f t="shared" si="108"/>
        <v>731674.755282233</v>
      </c>
      <c r="AN52" s="158">
        <f t="shared" si="108"/>
        <v>1227230.5248122846</v>
      </c>
      <c r="AO52" s="158">
        <f t="shared" si="108"/>
        <v>1808031.7358964707</v>
      </c>
      <c r="AP52" s="158">
        <f t="shared" si="108"/>
        <v>2065287.2283950937</v>
      </c>
      <c r="AQ52" s="158">
        <f t="shared" si="108"/>
        <v>1693540.8591751985</v>
      </c>
      <c r="AR52" s="158">
        <f t="shared" si="108"/>
        <v>1355262.0690988947</v>
      </c>
      <c r="AS52" s="158">
        <f t="shared" si="108"/>
        <v>782693.03377466474</v>
      </c>
      <c r="AT52" s="158">
        <f t="shared" si="108"/>
        <v>433258.38398383051</v>
      </c>
      <c r="AU52" s="158">
        <f t="shared" si="108"/>
        <v>259949.87301746316</v>
      </c>
      <c r="AV52" s="143">
        <f t="shared" si="65"/>
        <v>11209675.260402724</v>
      </c>
    </row>
    <row r="53" spans="1:48" s="22" customFormat="1">
      <c r="A53" s="140">
        <f>A52/A66</f>
        <v>0.53028460421985157</v>
      </c>
      <c r="B53" s="140">
        <f>B52/B66</f>
        <v>0.90966207148404654</v>
      </c>
      <c r="C53" s="27" t="s">
        <v>656</v>
      </c>
      <c r="D53" s="158">
        <f>D52</f>
        <v>265455.36197752296</v>
      </c>
      <c r="E53" s="22">
        <f>D53+E52</f>
        <v>530910.72395504592</v>
      </c>
      <c r="F53" s="22">
        <f t="shared" ref="F53:O53" si="109">E53+F52</f>
        <v>842572.78958076425</v>
      </c>
      <c r="G53" s="22">
        <f t="shared" si="109"/>
        <v>1564442.9835667764</v>
      </c>
      <c r="H53" s="22">
        <f t="shared" si="109"/>
        <v>2774735.1406580973</v>
      </c>
      <c r="I53" s="152">
        <f t="shared" si="109"/>
        <v>4557516.255268286</v>
      </c>
      <c r="J53" s="152">
        <f t="shared" si="109"/>
        <v>6593861.165438747</v>
      </c>
      <c r="K53" s="152">
        <f t="shared" si="109"/>
        <v>8263727.1057977322</v>
      </c>
      <c r="L53" s="152">
        <f t="shared" si="109"/>
        <v>9600235.9402218424</v>
      </c>
      <c r="M53" s="152">
        <f t="shared" si="109"/>
        <v>10372369.858585015</v>
      </c>
      <c r="N53" s="22">
        <f t="shared" si="109"/>
        <v>10800106.049721112</v>
      </c>
      <c r="O53" s="22">
        <f t="shared" si="109"/>
        <v>11056998.335505811</v>
      </c>
      <c r="P53" s="124">
        <f>(P13-P52)/P52</f>
        <v>0.15235457063711938</v>
      </c>
      <c r="Q53" s="131"/>
      <c r="R53" s="131"/>
      <c r="S53" s="27" t="s">
        <v>656</v>
      </c>
      <c r="T53" s="158">
        <f>T52</f>
        <v>266941.50775686617</v>
      </c>
      <c r="U53" s="22">
        <f t="shared" ref="U53:AE53" si="110">T53+U52</f>
        <v>533883.01551373233</v>
      </c>
      <c r="V53" s="22">
        <f t="shared" si="110"/>
        <v>847355.91931466735</v>
      </c>
      <c r="W53" s="22">
        <f t="shared" si="110"/>
        <v>1573817.5305992216</v>
      </c>
      <c r="X53" s="22">
        <f t="shared" si="110"/>
        <v>2792034.4604568938</v>
      </c>
      <c r="Y53" s="22">
        <f t="shared" si="110"/>
        <v>4586625.0234969184</v>
      </c>
      <c r="Z53" s="22">
        <f t="shared" si="110"/>
        <v>6636504.5329412147</v>
      </c>
      <c r="AA53" s="22">
        <f t="shared" si="110"/>
        <v>8317442.6492804093</v>
      </c>
      <c r="AB53" s="22">
        <f t="shared" si="110"/>
        <v>9662724.6666489169</v>
      </c>
      <c r="AC53" s="22">
        <f t="shared" si="110"/>
        <v>10439802.297120009</v>
      </c>
      <c r="AD53" s="22">
        <f t="shared" si="110"/>
        <v>10870128.730575608</v>
      </c>
      <c r="AE53" s="22">
        <f t="shared" si="110"/>
        <v>11128459.221953221</v>
      </c>
      <c r="AG53" s="131"/>
      <c r="AH53" s="131"/>
      <c r="AI53" s="27" t="s">
        <v>656</v>
      </c>
      <c r="AJ53" s="158">
        <f>AJ52</f>
        <v>268614.86878471193</v>
      </c>
      <c r="AK53" s="22">
        <f t="shared" ref="AK53:AU53" si="111">AJ53+AK52</f>
        <v>537229.73756942386</v>
      </c>
      <c r="AL53" s="22">
        <f t="shared" si="111"/>
        <v>852746.79696658952</v>
      </c>
      <c r="AM53" s="22">
        <f t="shared" si="111"/>
        <v>1584421.5522488225</v>
      </c>
      <c r="AN53" s="22">
        <f t="shared" si="111"/>
        <v>2811652.0770611074</v>
      </c>
      <c r="AO53" s="22">
        <f t="shared" si="111"/>
        <v>4619683.8129575783</v>
      </c>
      <c r="AP53" s="22">
        <f t="shared" si="111"/>
        <v>6684971.0413526725</v>
      </c>
      <c r="AQ53" s="22">
        <f t="shared" si="111"/>
        <v>8378511.9005278712</v>
      </c>
      <c r="AR53" s="22">
        <f t="shared" si="111"/>
        <v>9733773.9696267657</v>
      </c>
      <c r="AS53" s="22">
        <f t="shared" si="111"/>
        <v>10516467.00340143</v>
      </c>
      <c r="AT53" s="22">
        <f t="shared" si="111"/>
        <v>10949725.38738526</v>
      </c>
      <c r="AU53" s="22">
        <f t="shared" si="111"/>
        <v>11209675.260402724</v>
      </c>
    </row>
    <row r="54" spans="1:48" s="22" customFormat="1">
      <c r="A54" s="131"/>
      <c r="B54" s="131"/>
      <c r="C54" s="10" t="s">
        <v>508</v>
      </c>
      <c r="D54" s="276">
        <v>20400</v>
      </c>
      <c r="E54" s="132">
        <v>19000</v>
      </c>
      <c r="F54" s="132">
        <v>19200</v>
      </c>
      <c r="G54" s="132">
        <v>16600</v>
      </c>
      <c r="H54" s="132">
        <v>27500</v>
      </c>
      <c r="I54" s="153">
        <v>36700</v>
      </c>
      <c r="J54" s="153">
        <v>43100</v>
      </c>
      <c r="K54" s="153">
        <v>33300</v>
      </c>
      <c r="L54" s="153">
        <v>26200</v>
      </c>
      <c r="M54" s="153">
        <v>29200</v>
      </c>
      <c r="N54" s="132">
        <v>11800</v>
      </c>
      <c r="O54" s="132">
        <v>11300</v>
      </c>
      <c r="P54" s="22">
        <f>SUM(D54:O54)</f>
        <v>294300</v>
      </c>
      <c r="Q54" s="131"/>
      <c r="R54" s="131"/>
      <c r="S54" s="10" t="s">
        <v>508</v>
      </c>
      <c r="T54" s="276">
        <v>2200</v>
      </c>
      <c r="U54" s="132">
        <v>2000</v>
      </c>
      <c r="V54" s="132">
        <v>2400</v>
      </c>
      <c r="W54" s="132">
        <v>8200</v>
      </c>
      <c r="X54" s="132">
        <v>14600</v>
      </c>
      <c r="Y54" s="132">
        <v>21100</v>
      </c>
      <c r="Z54" s="278">
        <v>23500</v>
      </c>
      <c r="AA54" s="278">
        <v>18800</v>
      </c>
      <c r="AB54" s="132">
        <v>15800</v>
      </c>
      <c r="AC54" s="132">
        <v>9000</v>
      </c>
      <c r="AD54" s="132">
        <v>4700</v>
      </c>
      <c r="AE54" s="132">
        <v>2800</v>
      </c>
      <c r="AF54" s="22">
        <f t="shared" si="63"/>
        <v>125100</v>
      </c>
      <c r="AG54" s="131"/>
      <c r="AH54" s="131"/>
      <c r="AI54" s="10" t="s">
        <v>508</v>
      </c>
      <c r="AJ54" s="153">
        <v>2250</v>
      </c>
      <c r="AK54" s="153">
        <v>2050</v>
      </c>
      <c r="AL54" s="153">
        <v>2500</v>
      </c>
      <c r="AM54" s="153">
        <v>8400</v>
      </c>
      <c r="AN54" s="153">
        <v>15000</v>
      </c>
      <c r="AO54" s="153">
        <v>21700</v>
      </c>
      <c r="AP54" s="153">
        <v>24200</v>
      </c>
      <c r="AQ54" s="153">
        <v>19300</v>
      </c>
      <c r="AR54" s="153">
        <v>16300</v>
      </c>
      <c r="AS54" s="153">
        <v>9300</v>
      </c>
      <c r="AT54" s="153">
        <v>4800</v>
      </c>
      <c r="AU54" s="153">
        <v>2900</v>
      </c>
      <c r="AV54" s="22">
        <f t="shared" si="65"/>
        <v>128700</v>
      </c>
    </row>
    <row r="55" spans="1:48" s="22" customFormat="1">
      <c r="A55" s="131"/>
      <c r="B55" s="131"/>
      <c r="C55" s="10" t="s">
        <v>657</v>
      </c>
      <c r="D55" s="158">
        <f>D54</f>
        <v>20400</v>
      </c>
      <c r="E55" s="22">
        <f>D55+E54</f>
        <v>39400</v>
      </c>
      <c r="F55" s="22">
        <f t="shared" ref="F55:O55" si="112">E55+F54</f>
        <v>58600</v>
      </c>
      <c r="G55" s="22">
        <f t="shared" si="112"/>
        <v>75200</v>
      </c>
      <c r="H55" s="22">
        <f t="shared" si="112"/>
        <v>102700</v>
      </c>
      <c r="I55" s="152">
        <f t="shared" si="112"/>
        <v>139400</v>
      </c>
      <c r="J55" s="152">
        <f t="shared" si="112"/>
        <v>182500</v>
      </c>
      <c r="K55" s="152">
        <f t="shared" si="112"/>
        <v>215800</v>
      </c>
      <c r="L55" s="152">
        <f t="shared" si="112"/>
        <v>242000</v>
      </c>
      <c r="M55" s="152">
        <f t="shared" si="112"/>
        <v>271200</v>
      </c>
      <c r="N55" s="22">
        <f t="shared" si="112"/>
        <v>283000</v>
      </c>
      <c r="O55" s="22">
        <f t="shared" si="112"/>
        <v>294300</v>
      </c>
      <c r="Q55" s="131"/>
      <c r="R55" s="131"/>
      <c r="S55" s="10" t="s">
        <v>657</v>
      </c>
      <c r="T55" s="158">
        <f>T54</f>
        <v>2200</v>
      </c>
      <c r="U55" s="22">
        <f t="shared" ref="U55:AE55" si="113">T55+U54</f>
        <v>4200</v>
      </c>
      <c r="V55" s="22">
        <f t="shared" si="113"/>
        <v>6600</v>
      </c>
      <c r="W55" s="22">
        <f t="shared" si="113"/>
        <v>14800</v>
      </c>
      <c r="X55" s="22">
        <f t="shared" si="113"/>
        <v>29400</v>
      </c>
      <c r="Y55" s="22">
        <f t="shared" si="113"/>
        <v>50500</v>
      </c>
      <c r="Z55" s="22">
        <f t="shared" si="113"/>
        <v>74000</v>
      </c>
      <c r="AA55" s="22">
        <f t="shared" si="113"/>
        <v>92800</v>
      </c>
      <c r="AB55" s="22">
        <f t="shared" si="113"/>
        <v>108600</v>
      </c>
      <c r="AC55" s="22">
        <f t="shared" si="113"/>
        <v>117600</v>
      </c>
      <c r="AD55" s="22">
        <f t="shared" si="113"/>
        <v>122300</v>
      </c>
      <c r="AE55" s="22">
        <f t="shared" si="113"/>
        <v>125100</v>
      </c>
      <c r="AG55" s="131"/>
      <c r="AH55" s="131"/>
      <c r="AI55" s="10" t="s">
        <v>657</v>
      </c>
      <c r="AJ55" s="158">
        <f>AJ54</f>
        <v>2250</v>
      </c>
      <c r="AK55" s="22">
        <f t="shared" ref="AK55:AU55" si="114">AJ55+AK54</f>
        <v>4300</v>
      </c>
      <c r="AL55" s="22">
        <f t="shared" si="114"/>
        <v>6800</v>
      </c>
      <c r="AM55" s="22">
        <f t="shared" si="114"/>
        <v>15200</v>
      </c>
      <c r="AN55" s="22">
        <f t="shared" si="114"/>
        <v>30200</v>
      </c>
      <c r="AO55" s="22">
        <f t="shared" si="114"/>
        <v>51900</v>
      </c>
      <c r="AP55" s="22">
        <f t="shared" si="114"/>
        <v>76100</v>
      </c>
      <c r="AQ55" s="22">
        <f t="shared" si="114"/>
        <v>95400</v>
      </c>
      <c r="AR55" s="22">
        <f t="shared" si="114"/>
        <v>111700</v>
      </c>
      <c r="AS55" s="22">
        <f t="shared" si="114"/>
        <v>121000</v>
      </c>
      <c r="AT55" s="22">
        <f t="shared" si="114"/>
        <v>125800</v>
      </c>
      <c r="AU55" s="22">
        <f t="shared" si="114"/>
        <v>128700</v>
      </c>
    </row>
    <row r="56" spans="1:48" s="22" customFormat="1">
      <c r="A56" s="28">
        <v>947</v>
      </c>
      <c r="B56" s="28">
        <v>15</v>
      </c>
      <c r="C56" s="28" t="s">
        <v>509</v>
      </c>
      <c r="D56" s="158">
        <f t="shared" ref="D56:O56" si="115">(D36*$A$56)+(D2*$B$56)</f>
        <v>29357</v>
      </c>
      <c r="E56" s="158">
        <f t="shared" si="115"/>
        <v>29357</v>
      </c>
      <c r="F56" s="158">
        <f t="shared" si="115"/>
        <v>28754.25</v>
      </c>
      <c r="G56" s="158">
        <f t="shared" si="115"/>
        <v>32225.75</v>
      </c>
      <c r="H56" s="158">
        <f t="shared" si="115"/>
        <v>34402.5</v>
      </c>
      <c r="I56" s="158">
        <f t="shared" si="115"/>
        <v>38894</v>
      </c>
      <c r="J56" s="158">
        <f t="shared" si="115"/>
        <v>40487.75</v>
      </c>
      <c r="K56" s="158">
        <f t="shared" si="115"/>
        <v>35504.75</v>
      </c>
      <c r="L56" s="158">
        <f t="shared" si="115"/>
        <v>36089</v>
      </c>
      <c r="M56" s="158">
        <f t="shared" si="115"/>
        <v>31648.5</v>
      </c>
      <c r="N56" s="158">
        <f t="shared" si="115"/>
        <v>30377</v>
      </c>
      <c r="O56" s="158">
        <f t="shared" si="115"/>
        <v>28410</v>
      </c>
      <c r="P56" s="22">
        <f>SUM(D56:O56)</f>
        <v>395507.5</v>
      </c>
      <c r="Q56" s="28">
        <f>A56</f>
        <v>947</v>
      </c>
      <c r="R56" s="28">
        <f>B56</f>
        <v>15</v>
      </c>
      <c r="S56" s="28" t="s">
        <v>509</v>
      </c>
      <c r="T56" s="158">
        <f>(T36*$Q$56)+(T2*$R$56)</f>
        <v>29357</v>
      </c>
      <c r="U56" s="158">
        <f t="shared" ref="U56:AE56" si="116">(U36*$A$56)+(U2*$B$56)</f>
        <v>29357</v>
      </c>
      <c r="V56" s="158">
        <f t="shared" si="116"/>
        <v>28754.25</v>
      </c>
      <c r="W56" s="158">
        <f t="shared" si="116"/>
        <v>32225.75</v>
      </c>
      <c r="X56" s="158">
        <f t="shared" si="116"/>
        <v>34402.5</v>
      </c>
      <c r="Y56" s="158">
        <f t="shared" si="116"/>
        <v>38894</v>
      </c>
      <c r="Z56" s="158">
        <f t="shared" si="116"/>
        <v>40487.75</v>
      </c>
      <c r="AA56" s="158">
        <f t="shared" si="116"/>
        <v>35504.75</v>
      </c>
      <c r="AB56" s="158">
        <f t="shared" si="116"/>
        <v>36089</v>
      </c>
      <c r="AC56" s="158">
        <f t="shared" si="116"/>
        <v>31648.5</v>
      </c>
      <c r="AD56" s="158">
        <f t="shared" si="116"/>
        <v>30377</v>
      </c>
      <c r="AE56" s="158">
        <f t="shared" si="116"/>
        <v>28410</v>
      </c>
      <c r="AF56" s="22">
        <f>SUM(T56:AE56)</f>
        <v>395507.5</v>
      </c>
      <c r="AG56" s="28">
        <f>Q56</f>
        <v>947</v>
      </c>
      <c r="AH56" s="28">
        <f>R56</f>
        <v>15</v>
      </c>
      <c r="AI56" s="28" t="s">
        <v>509</v>
      </c>
      <c r="AJ56" s="158">
        <f>(AJ36*$Q$56)+(AJ2*$R$56)</f>
        <v>29357</v>
      </c>
      <c r="AK56" s="158">
        <f t="shared" ref="AK56:AU56" si="117">(AK36*$A$56)+(AK2*$B$56)</f>
        <v>29357</v>
      </c>
      <c r="AL56" s="158">
        <f t="shared" si="117"/>
        <v>28754.25</v>
      </c>
      <c r="AM56" s="158">
        <f t="shared" si="117"/>
        <v>32225.75</v>
      </c>
      <c r="AN56" s="158">
        <f t="shared" si="117"/>
        <v>34402.5</v>
      </c>
      <c r="AO56" s="158">
        <f t="shared" si="117"/>
        <v>38894</v>
      </c>
      <c r="AP56" s="158">
        <f t="shared" si="117"/>
        <v>40487.75</v>
      </c>
      <c r="AQ56" s="158">
        <f t="shared" si="117"/>
        <v>35504.75</v>
      </c>
      <c r="AR56" s="158">
        <f t="shared" si="117"/>
        <v>36089</v>
      </c>
      <c r="AS56" s="158">
        <f t="shared" si="117"/>
        <v>31648.5</v>
      </c>
      <c r="AT56" s="158">
        <f t="shared" si="117"/>
        <v>30377</v>
      </c>
      <c r="AU56" s="158">
        <f t="shared" si="117"/>
        <v>28410</v>
      </c>
      <c r="AV56" s="22">
        <f>SUM(AJ56:AU56)</f>
        <v>395507.5</v>
      </c>
    </row>
    <row r="57" spans="1:48" s="22" customFormat="1">
      <c r="C57" s="28" t="s">
        <v>658</v>
      </c>
      <c r="D57" s="158">
        <f>D56</f>
        <v>29357</v>
      </c>
      <c r="E57" s="158">
        <f>D57+E56</f>
        <v>58714</v>
      </c>
      <c r="F57" s="158">
        <f t="shared" ref="F57:O57" si="118">E57+F56</f>
        <v>87468.25</v>
      </c>
      <c r="G57" s="158">
        <f t="shared" si="118"/>
        <v>119694</v>
      </c>
      <c r="H57" s="158">
        <f t="shared" si="118"/>
        <v>154096.5</v>
      </c>
      <c r="I57" s="158">
        <f t="shared" si="118"/>
        <v>192990.5</v>
      </c>
      <c r="J57" s="158">
        <f t="shared" si="118"/>
        <v>233478.25</v>
      </c>
      <c r="K57" s="158">
        <f t="shared" si="118"/>
        <v>268983</v>
      </c>
      <c r="L57" s="158">
        <f t="shared" si="118"/>
        <v>305072</v>
      </c>
      <c r="M57" s="158">
        <f t="shared" si="118"/>
        <v>336720.5</v>
      </c>
      <c r="N57" s="158">
        <f t="shared" si="118"/>
        <v>367097.5</v>
      </c>
      <c r="O57" s="158">
        <f t="shared" si="118"/>
        <v>395507.5</v>
      </c>
      <c r="Q57" s="131"/>
      <c r="R57" s="131"/>
      <c r="S57" s="28" t="s">
        <v>658</v>
      </c>
      <c r="T57" s="158">
        <f>T56</f>
        <v>29357</v>
      </c>
      <c r="U57" s="158">
        <f t="shared" ref="U57:AE57" si="119">T57+U56</f>
        <v>58714</v>
      </c>
      <c r="V57" s="158">
        <f t="shared" si="119"/>
        <v>87468.25</v>
      </c>
      <c r="W57" s="158">
        <f t="shared" si="119"/>
        <v>119694</v>
      </c>
      <c r="X57" s="158">
        <f t="shared" si="119"/>
        <v>154096.5</v>
      </c>
      <c r="Y57" s="158">
        <f t="shared" si="119"/>
        <v>192990.5</v>
      </c>
      <c r="Z57" s="158">
        <f t="shared" si="119"/>
        <v>233478.25</v>
      </c>
      <c r="AA57" s="158">
        <f t="shared" si="119"/>
        <v>268983</v>
      </c>
      <c r="AB57" s="158">
        <f t="shared" si="119"/>
        <v>305072</v>
      </c>
      <c r="AC57" s="158">
        <f t="shared" si="119"/>
        <v>336720.5</v>
      </c>
      <c r="AD57" s="158">
        <f t="shared" si="119"/>
        <v>367097.5</v>
      </c>
      <c r="AE57" s="158">
        <f t="shared" si="119"/>
        <v>395507.5</v>
      </c>
      <c r="AG57" s="131"/>
      <c r="AH57" s="131"/>
      <c r="AI57" s="28" t="s">
        <v>658</v>
      </c>
      <c r="AJ57" s="158">
        <f>AJ56</f>
        <v>29357</v>
      </c>
      <c r="AK57" s="158">
        <f t="shared" ref="AK57:AU57" si="120">AJ57+AK56</f>
        <v>58714</v>
      </c>
      <c r="AL57" s="158">
        <f t="shared" si="120"/>
        <v>87468.25</v>
      </c>
      <c r="AM57" s="158">
        <f t="shared" si="120"/>
        <v>119694</v>
      </c>
      <c r="AN57" s="158">
        <f t="shared" si="120"/>
        <v>154096.5</v>
      </c>
      <c r="AO57" s="158">
        <f t="shared" si="120"/>
        <v>192990.5</v>
      </c>
      <c r="AP57" s="158">
        <f t="shared" si="120"/>
        <v>233478.25</v>
      </c>
      <c r="AQ57" s="158">
        <f t="shared" si="120"/>
        <v>268983</v>
      </c>
      <c r="AR57" s="158">
        <f t="shared" si="120"/>
        <v>305072</v>
      </c>
      <c r="AS57" s="158">
        <f t="shared" si="120"/>
        <v>336720.5</v>
      </c>
      <c r="AT57" s="158">
        <f t="shared" si="120"/>
        <v>367097.5</v>
      </c>
      <c r="AU57" s="158">
        <f t="shared" si="120"/>
        <v>395507.5</v>
      </c>
    </row>
    <row r="58" spans="1:48">
      <c r="B58" s="124"/>
      <c r="C58" s="10" t="s">
        <v>510</v>
      </c>
      <c r="D58" s="132">
        <v>200000</v>
      </c>
      <c r="E58" s="132">
        <v>195000</v>
      </c>
      <c r="F58" s="132">
        <v>177500</v>
      </c>
      <c r="G58" s="132">
        <v>280000</v>
      </c>
      <c r="H58" s="132">
        <v>280000</v>
      </c>
      <c r="I58" s="153">
        <v>335000</v>
      </c>
      <c r="J58" s="153">
        <v>340000</v>
      </c>
      <c r="K58" s="153">
        <v>300000</v>
      </c>
      <c r="L58" s="153">
        <v>275000</v>
      </c>
      <c r="M58" s="153">
        <v>260000</v>
      </c>
      <c r="N58" s="132">
        <v>220000</v>
      </c>
      <c r="O58" s="132">
        <v>194500</v>
      </c>
      <c r="P58" s="22">
        <f>SUM(D58:O58)</f>
        <v>3057000</v>
      </c>
      <c r="Q58" s="124">
        <f>P58/P62</f>
        <v>0.91218333184137501</v>
      </c>
      <c r="R58" s="22"/>
      <c r="S58" s="10" t="s">
        <v>510</v>
      </c>
      <c r="T58" s="132">
        <v>220000</v>
      </c>
      <c r="U58" s="132">
        <v>210000</v>
      </c>
      <c r="V58" s="132">
        <v>190000</v>
      </c>
      <c r="W58" s="132">
        <v>300000</v>
      </c>
      <c r="X58" s="132">
        <v>300000</v>
      </c>
      <c r="Y58" s="132">
        <v>360000</v>
      </c>
      <c r="Z58" s="132">
        <v>370000</v>
      </c>
      <c r="AA58" s="132">
        <v>330000</v>
      </c>
      <c r="AB58" s="132">
        <v>300000</v>
      </c>
      <c r="AC58" s="132">
        <v>290000</v>
      </c>
      <c r="AD58" s="132">
        <v>240000</v>
      </c>
      <c r="AE58" s="132">
        <v>210000</v>
      </c>
      <c r="AF58" s="22">
        <f>SUM(T58:AE58)</f>
        <v>3320000</v>
      </c>
      <c r="AG58" s="22"/>
      <c r="AH58" s="22"/>
      <c r="AI58" s="10" t="s">
        <v>510</v>
      </c>
      <c r="AJ58" s="153">
        <v>225000</v>
      </c>
      <c r="AK58" s="153">
        <v>215000</v>
      </c>
      <c r="AL58" s="153">
        <v>195000</v>
      </c>
      <c r="AM58" s="153">
        <v>306000</v>
      </c>
      <c r="AN58" s="153">
        <v>310000</v>
      </c>
      <c r="AO58" s="153">
        <v>369000</v>
      </c>
      <c r="AP58" s="153">
        <v>379000</v>
      </c>
      <c r="AQ58" s="153">
        <v>335000</v>
      </c>
      <c r="AR58" s="153">
        <v>307000</v>
      </c>
      <c r="AS58" s="153">
        <v>297000</v>
      </c>
      <c r="AT58" s="153">
        <v>245000</v>
      </c>
      <c r="AU58" s="153">
        <v>215000</v>
      </c>
      <c r="AV58" s="22">
        <f>SUM(AJ58:AU58)</f>
        <v>3398000</v>
      </c>
    </row>
    <row r="59" spans="1:48" s="22" customFormat="1">
      <c r="A59" s="131"/>
      <c r="B59" s="131"/>
      <c r="C59" s="10" t="s">
        <v>659</v>
      </c>
      <c r="D59" s="158">
        <f>D58</f>
        <v>200000</v>
      </c>
      <c r="E59" s="22">
        <f>D59+E58</f>
        <v>395000</v>
      </c>
      <c r="F59" s="22">
        <f t="shared" ref="F59:O59" si="121">E59+F58</f>
        <v>572500</v>
      </c>
      <c r="G59" s="22">
        <f t="shared" si="121"/>
        <v>852500</v>
      </c>
      <c r="H59" s="22">
        <f t="shared" si="121"/>
        <v>1132500</v>
      </c>
      <c r="I59" s="152">
        <f t="shared" si="121"/>
        <v>1467500</v>
      </c>
      <c r="J59" s="152">
        <f t="shared" si="121"/>
        <v>1807500</v>
      </c>
      <c r="K59" s="152">
        <f t="shared" si="121"/>
        <v>2107500</v>
      </c>
      <c r="L59" s="152">
        <f t="shared" si="121"/>
        <v>2382500</v>
      </c>
      <c r="M59" s="152">
        <f t="shared" si="121"/>
        <v>2642500</v>
      </c>
      <c r="N59" s="22">
        <f t="shared" si="121"/>
        <v>2862500</v>
      </c>
      <c r="O59" s="22">
        <f t="shared" si="121"/>
        <v>3057000</v>
      </c>
      <c r="Q59" s="131"/>
      <c r="R59" s="131"/>
      <c r="S59" s="10" t="s">
        <v>659</v>
      </c>
      <c r="T59" s="158">
        <f>T58</f>
        <v>220000</v>
      </c>
      <c r="U59" s="22">
        <f t="shared" ref="U59:AE59" si="122">T59+U58</f>
        <v>430000</v>
      </c>
      <c r="V59" s="22">
        <f t="shared" si="122"/>
        <v>620000</v>
      </c>
      <c r="W59" s="22">
        <f t="shared" si="122"/>
        <v>920000</v>
      </c>
      <c r="X59" s="22">
        <f t="shared" si="122"/>
        <v>1220000</v>
      </c>
      <c r="Y59" s="22">
        <f t="shared" si="122"/>
        <v>1580000</v>
      </c>
      <c r="Z59" s="22">
        <f t="shared" si="122"/>
        <v>1950000</v>
      </c>
      <c r="AA59" s="22">
        <f t="shared" si="122"/>
        <v>2280000</v>
      </c>
      <c r="AB59" s="22">
        <f t="shared" si="122"/>
        <v>2580000</v>
      </c>
      <c r="AC59" s="22">
        <f t="shared" si="122"/>
        <v>2870000</v>
      </c>
      <c r="AD59" s="22">
        <f t="shared" si="122"/>
        <v>3110000</v>
      </c>
      <c r="AE59" s="22">
        <f t="shared" si="122"/>
        <v>3320000</v>
      </c>
      <c r="AG59" s="131"/>
      <c r="AH59" s="131"/>
      <c r="AI59" s="10" t="s">
        <v>659</v>
      </c>
      <c r="AJ59" s="158">
        <f>AJ58</f>
        <v>225000</v>
      </c>
      <c r="AK59" s="22">
        <f t="shared" ref="AK59:AU59" si="123">AJ59+AK58</f>
        <v>440000</v>
      </c>
      <c r="AL59" s="22">
        <f t="shared" si="123"/>
        <v>635000</v>
      </c>
      <c r="AM59" s="22">
        <f t="shared" si="123"/>
        <v>941000</v>
      </c>
      <c r="AN59" s="22">
        <f t="shared" si="123"/>
        <v>1251000</v>
      </c>
      <c r="AO59" s="22">
        <f t="shared" si="123"/>
        <v>1620000</v>
      </c>
      <c r="AP59" s="22">
        <f t="shared" si="123"/>
        <v>1999000</v>
      </c>
      <c r="AQ59" s="22">
        <f t="shared" si="123"/>
        <v>2334000</v>
      </c>
      <c r="AR59" s="22">
        <f t="shared" si="123"/>
        <v>2641000</v>
      </c>
      <c r="AS59" s="22">
        <f t="shared" si="123"/>
        <v>2938000</v>
      </c>
      <c r="AT59" s="22">
        <f t="shared" si="123"/>
        <v>3183000</v>
      </c>
      <c r="AU59" s="22">
        <f t="shared" si="123"/>
        <v>3398000</v>
      </c>
    </row>
    <row r="60" spans="1:48" s="22" customFormat="1">
      <c r="A60" s="28">
        <v>6638</v>
      </c>
      <c r="B60" s="28">
        <v>222</v>
      </c>
      <c r="C60" s="10" t="s">
        <v>511</v>
      </c>
      <c r="D60" s="158">
        <f t="shared" ref="D60:O60" si="124">(D36*$A$60)+(D2*$B$60)</f>
        <v>205778</v>
      </c>
      <c r="E60" s="158">
        <f t="shared" si="124"/>
        <v>205778</v>
      </c>
      <c r="F60" s="158">
        <f t="shared" si="124"/>
        <v>204234.9</v>
      </c>
      <c r="G60" s="158">
        <f t="shared" si="124"/>
        <v>248235.5</v>
      </c>
      <c r="H60" s="158">
        <f t="shared" si="124"/>
        <v>287829</v>
      </c>
      <c r="I60" s="158">
        <f t="shared" si="124"/>
        <v>346925.6</v>
      </c>
      <c r="J60" s="158">
        <f t="shared" si="124"/>
        <v>370513.1</v>
      </c>
      <c r="K60" s="158">
        <f t="shared" si="124"/>
        <v>318897.5</v>
      </c>
      <c r="L60" s="158">
        <f t="shared" si="124"/>
        <v>305411.59999999998</v>
      </c>
      <c r="M60" s="158">
        <f t="shared" si="124"/>
        <v>247069.8</v>
      </c>
      <c r="N60" s="158">
        <f t="shared" si="124"/>
        <v>220874</v>
      </c>
      <c r="O60" s="158">
        <f t="shared" si="124"/>
        <v>199140</v>
      </c>
      <c r="P60" s="22">
        <f>SUM(D60:O60)</f>
        <v>3160687</v>
      </c>
      <c r="Q60" s="28">
        <f>A60</f>
        <v>6638</v>
      </c>
      <c r="R60" s="28">
        <f>B60</f>
        <v>222</v>
      </c>
      <c r="S60" s="10" t="s">
        <v>511</v>
      </c>
      <c r="T60" s="158">
        <f t="shared" ref="T60:AE60" si="125">(T36*$A$60)+(T2*$B$60)</f>
        <v>205778</v>
      </c>
      <c r="U60" s="158">
        <f t="shared" si="125"/>
        <v>205778</v>
      </c>
      <c r="V60" s="158">
        <f t="shared" si="125"/>
        <v>204234.9</v>
      </c>
      <c r="W60" s="158">
        <f t="shared" si="125"/>
        <v>248235.5</v>
      </c>
      <c r="X60" s="158">
        <f t="shared" si="125"/>
        <v>287829</v>
      </c>
      <c r="Y60" s="158">
        <f t="shared" si="125"/>
        <v>346925.6</v>
      </c>
      <c r="Z60" s="158">
        <f t="shared" si="125"/>
        <v>370513.1</v>
      </c>
      <c r="AA60" s="158">
        <f t="shared" si="125"/>
        <v>318897.5</v>
      </c>
      <c r="AB60" s="158">
        <f t="shared" si="125"/>
        <v>305411.59999999998</v>
      </c>
      <c r="AC60" s="158">
        <f t="shared" si="125"/>
        <v>247069.8</v>
      </c>
      <c r="AD60" s="158">
        <f t="shared" si="125"/>
        <v>220874</v>
      </c>
      <c r="AE60" s="158">
        <f t="shared" si="125"/>
        <v>199140</v>
      </c>
      <c r="AF60" s="22">
        <f>SUM(T60:AE60)</f>
        <v>3160687</v>
      </c>
      <c r="AG60" s="28">
        <f>Q60</f>
        <v>6638</v>
      </c>
      <c r="AH60" s="28">
        <f>R60</f>
        <v>222</v>
      </c>
      <c r="AI60" s="10" t="s">
        <v>511</v>
      </c>
      <c r="AJ60" s="158">
        <f t="shared" ref="AJ60:AU60" si="126">(AJ36*$A$60)+(AJ2*$B$60)</f>
        <v>205778</v>
      </c>
      <c r="AK60" s="158">
        <f t="shared" si="126"/>
        <v>205778</v>
      </c>
      <c r="AL60" s="158">
        <f t="shared" si="126"/>
        <v>204234.9</v>
      </c>
      <c r="AM60" s="158">
        <f t="shared" si="126"/>
        <v>248235.5</v>
      </c>
      <c r="AN60" s="158">
        <f t="shared" si="126"/>
        <v>287829</v>
      </c>
      <c r="AO60" s="158">
        <f t="shared" si="126"/>
        <v>346925.6</v>
      </c>
      <c r="AP60" s="158">
        <f t="shared" si="126"/>
        <v>370513.1</v>
      </c>
      <c r="AQ60" s="158">
        <f t="shared" si="126"/>
        <v>318897.5</v>
      </c>
      <c r="AR60" s="158">
        <f t="shared" si="126"/>
        <v>305411.59999999998</v>
      </c>
      <c r="AS60" s="158">
        <f t="shared" si="126"/>
        <v>247069.8</v>
      </c>
      <c r="AT60" s="158">
        <f t="shared" si="126"/>
        <v>220874</v>
      </c>
      <c r="AU60" s="158">
        <f t="shared" si="126"/>
        <v>199140</v>
      </c>
      <c r="AV60" s="22">
        <f>SUM(AJ60:AU60)</f>
        <v>3160687</v>
      </c>
    </row>
    <row r="61" spans="1:48" s="22" customFormat="1">
      <c r="A61" s="28"/>
      <c r="B61" s="28"/>
      <c r="C61" s="10" t="s">
        <v>660</v>
      </c>
      <c r="D61" s="158">
        <f>D60</f>
        <v>205778</v>
      </c>
      <c r="E61" s="158">
        <f>D61+E60</f>
        <v>411556</v>
      </c>
      <c r="F61" s="158">
        <f t="shared" ref="F61:O61" si="127">E61+F60</f>
        <v>615790.9</v>
      </c>
      <c r="G61" s="158">
        <f t="shared" si="127"/>
        <v>864026.4</v>
      </c>
      <c r="H61" s="158">
        <f t="shared" si="127"/>
        <v>1151855.3999999999</v>
      </c>
      <c r="I61" s="158">
        <f t="shared" si="127"/>
        <v>1498781</v>
      </c>
      <c r="J61" s="158">
        <f t="shared" si="127"/>
        <v>1869294.1</v>
      </c>
      <c r="K61" s="158">
        <f t="shared" si="127"/>
        <v>2188191.6</v>
      </c>
      <c r="L61" s="158">
        <f t="shared" si="127"/>
        <v>2493603.2000000002</v>
      </c>
      <c r="M61" s="158">
        <f t="shared" si="127"/>
        <v>2740673</v>
      </c>
      <c r="N61" s="158">
        <f t="shared" si="127"/>
        <v>2961547</v>
      </c>
      <c r="O61" s="158">
        <f t="shared" si="127"/>
        <v>3160687</v>
      </c>
      <c r="Q61" s="131"/>
      <c r="R61" s="131"/>
      <c r="S61" s="10" t="s">
        <v>660</v>
      </c>
      <c r="T61" s="158">
        <f>T60</f>
        <v>205778</v>
      </c>
      <c r="U61" s="158">
        <f t="shared" ref="U61:AE61" si="128">T61+U60</f>
        <v>411556</v>
      </c>
      <c r="V61" s="158">
        <f t="shared" si="128"/>
        <v>615790.9</v>
      </c>
      <c r="W61" s="158">
        <f t="shared" si="128"/>
        <v>864026.4</v>
      </c>
      <c r="X61" s="158">
        <f t="shared" si="128"/>
        <v>1151855.3999999999</v>
      </c>
      <c r="Y61" s="158">
        <f t="shared" si="128"/>
        <v>1498781</v>
      </c>
      <c r="Z61" s="158">
        <f t="shared" si="128"/>
        <v>1869294.1</v>
      </c>
      <c r="AA61" s="158">
        <f t="shared" si="128"/>
        <v>2188191.6</v>
      </c>
      <c r="AB61" s="158">
        <f t="shared" si="128"/>
        <v>2493603.2000000002</v>
      </c>
      <c r="AC61" s="158">
        <f t="shared" si="128"/>
        <v>2740673</v>
      </c>
      <c r="AD61" s="158">
        <f t="shared" si="128"/>
        <v>2961547</v>
      </c>
      <c r="AE61" s="158">
        <f t="shared" si="128"/>
        <v>3160687</v>
      </c>
      <c r="AG61" s="13"/>
      <c r="AH61" s="13"/>
      <c r="AI61" s="10" t="s">
        <v>660</v>
      </c>
      <c r="AJ61" s="158">
        <f>AJ60</f>
        <v>205778</v>
      </c>
      <c r="AK61" s="158">
        <f t="shared" ref="AK61:AU61" si="129">AJ61+AK60</f>
        <v>411556</v>
      </c>
      <c r="AL61" s="158">
        <f t="shared" si="129"/>
        <v>615790.9</v>
      </c>
      <c r="AM61" s="158">
        <f t="shared" si="129"/>
        <v>864026.4</v>
      </c>
      <c r="AN61" s="158">
        <f t="shared" si="129"/>
        <v>1151855.3999999999</v>
      </c>
      <c r="AO61" s="158">
        <f t="shared" si="129"/>
        <v>1498781</v>
      </c>
      <c r="AP61" s="158">
        <f t="shared" si="129"/>
        <v>1869294.1</v>
      </c>
      <c r="AQ61" s="158">
        <f t="shared" si="129"/>
        <v>2188191.6</v>
      </c>
      <c r="AR61" s="158">
        <f t="shared" si="129"/>
        <v>2493603.2000000002</v>
      </c>
      <c r="AS61" s="158">
        <f t="shared" si="129"/>
        <v>2740673</v>
      </c>
      <c r="AT61" s="158">
        <f t="shared" si="129"/>
        <v>2961547</v>
      </c>
      <c r="AU61" s="158">
        <f t="shared" si="129"/>
        <v>3160687</v>
      </c>
    </row>
    <row r="62" spans="1:48" s="22" customFormat="1">
      <c r="B62" s="124"/>
      <c r="C62" s="280" t="s">
        <v>512</v>
      </c>
      <c r="D62" s="158">
        <f>SUM(D54,D58)</f>
        <v>220400</v>
      </c>
      <c r="E62" s="158">
        <f>SUM(E54,E58)</f>
        <v>214000</v>
      </c>
      <c r="F62" s="158">
        <f t="shared" ref="F62:O62" si="130">SUM(F54,F58)</f>
        <v>196700</v>
      </c>
      <c r="G62" s="158">
        <f t="shared" si="130"/>
        <v>296600</v>
      </c>
      <c r="H62" s="158">
        <f t="shared" si="130"/>
        <v>307500</v>
      </c>
      <c r="I62" s="158">
        <f t="shared" si="130"/>
        <v>371700</v>
      </c>
      <c r="J62" s="158">
        <f t="shared" si="130"/>
        <v>383100</v>
      </c>
      <c r="K62" s="158">
        <f t="shared" si="130"/>
        <v>333300</v>
      </c>
      <c r="L62" s="158">
        <f t="shared" si="130"/>
        <v>301200</v>
      </c>
      <c r="M62" s="158">
        <f t="shared" si="130"/>
        <v>289200</v>
      </c>
      <c r="N62" s="158">
        <f t="shared" si="130"/>
        <v>231800</v>
      </c>
      <c r="O62" s="158">
        <f t="shared" si="130"/>
        <v>205800</v>
      </c>
      <c r="P62" s="143">
        <f>SUM(D62:O62)</f>
        <v>3351300</v>
      </c>
      <c r="S62" s="280" t="s">
        <v>512</v>
      </c>
      <c r="T62" s="158">
        <f>SUM(T54,T58)</f>
        <v>222200</v>
      </c>
      <c r="U62" s="158">
        <f>SUM(U54,U58)</f>
        <v>212000</v>
      </c>
      <c r="V62" s="158">
        <f t="shared" ref="V62:AE62" si="131">SUM(V54,V58)</f>
        <v>192400</v>
      </c>
      <c r="W62" s="158">
        <f t="shared" si="131"/>
        <v>308200</v>
      </c>
      <c r="X62" s="158">
        <f t="shared" si="131"/>
        <v>314600</v>
      </c>
      <c r="Y62" s="158">
        <f t="shared" si="131"/>
        <v>381100</v>
      </c>
      <c r="Z62" s="158">
        <f t="shared" si="131"/>
        <v>393500</v>
      </c>
      <c r="AA62" s="158">
        <f t="shared" si="131"/>
        <v>348800</v>
      </c>
      <c r="AB62" s="158">
        <f t="shared" si="131"/>
        <v>315800</v>
      </c>
      <c r="AC62" s="158">
        <f t="shared" si="131"/>
        <v>299000</v>
      </c>
      <c r="AD62" s="158">
        <f t="shared" si="131"/>
        <v>244700</v>
      </c>
      <c r="AE62" s="158">
        <f t="shared" si="131"/>
        <v>212800</v>
      </c>
      <c r="AF62" s="143">
        <f>SUM(T62:AE62)</f>
        <v>3445100</v>
      </c>
      <c r="AG62" s="13"/>
      <c r="AH62" s="13"/>
      <c r="AI62" s="280" t="s">
        <v>512</v>
      </c>
      <c r="AJ62" s="158">
        <f>SUM(AJ54,AJ58)</f>
        <v>227250</v>
      </c>
      <c r="AK62" s="158">
        <f>SUM(AK54,AK58)</f>
        <v>217050</v>
      </c>
      <c r="AL62" s="158">
        <f t="shared" ref="AL62:AU62" si="132">SUM(AL54,AL58)</f>
        <v>197500</v>
      </c>
      <c r="AM62" s="158">
        <f t="shared" si="132"/>
        <v>314400</v>
      </c>
      <c r="AN62" s="158">
        <f t="shared" si="132"/>
        <v>325000</v>
      </c>
      <c r="AO62" s="158">
        <f t="shared" si="132"/>
        <v>390700</v>
      </c>
      <c r="AP62" s="158">
        <f t="shared" si="132"/>
        <v>403200</v>
      </c>
      <c r="AQ62" s="158">
        <f t="shared" si="132"/>
        <v>354300</v>
      </c>
      <c r="AR62" s="158">
        <f t="shared" si="132"/>
        <v>323300</v>
      </c>
      <c r="AS62" s="158">
        <f t="shared" si="132"/>
        <v>306300</v>
      </c>
      <c r="AT62" s="158">
        <f t="shared" si="132"/>
        <v>249800</v>
      </c>
      <c r="AU62" s="158">
        <f t="shared" si="132"/>
        <v>217900</v>
      </c>
      <c r="AV62" s="143">
        <f>SUM(AJ62:AU62)</f>
        <v>3526700</v>
      </c>
    </row>
    <row r="63" spans="1:48" s="22" customFormat="1">
      <c r="A63" s="143">
        <f>SUM(A56,A60)</f>
        <v>7585</v>
      </c>
      <c r="B63" s="143">
        <f>SUM(B56,B60)</f>
        <v>237</v>
      </c>
      <c r="C63" s="280" t="s">
        <v>661</v>
      </c>
      <c r="D63" s="158">
        <f>D62</f>
        <v>220400</v>
      </c>
      <c r="E63" s="22">
        <f>D63+E62</f>
        <v>434400</v>
      </c>
      <c r="F63" s="22">
        <f t="shared" ref="F63:O63" si="133">E63+F62</f>
        <v>631100</v>
      </c>
      <c r="G63" s="22">
        <f t="shared" si="133"/>
        <v>927700</v>
      </c>
      <c r="H63" s="22">
        <f t="shared" si="133"/>
        <v>1235200</v>
      </c>
      <c r="I63" s="152">
        <f t="shared" si="133"/>
        <v>1606900</v>
      </c>
      <c r="J63" s="152">
        <f t="shared" si="133"/>
        <v>1990000</v>
      </c>
      <c r="K63" s="152">
        <f t="shared" si="133"/>
        <v>2323300</v>
      </c>
      <c r="L63" s="152">
        <f t="shared" si="133"/>
        <v>2624500</v>
      </c>
      <c r="M63" s="152">
        <f t="shared" si="133"/>
        <v>2913700</v>
      </c>
      <c r="N63" s="22">
        <f t="shared" si="133"/>
        <v>3145500</v>
      </c>
      <c r="O63" s="22">
        <f t="shared" si="133"/>
        <v>3351300</v>
      </c>
      <c r="P63" s="175">
        <f>P62/P64</f>
        <v>0.94238377569055909</v>
      </c>
      <c r="Q63" s="131"/>
      <c r="R63" s="131"/>
      <c r="S63" s="280" t="s">
        <v>661</v>
      </c>
      <c r="T63" s="158">
        <f>T62</f>
        <v>222200</v>
      </c>
      <c r="U63" s="22">
        <f t="shared" ref="U63:AE63" si="134">T63+U62</f>
        <v>434200</v>
      </c>
      <c r="V63" s="22">
        <f t="shared" si="134"/>
        <v>626600</v>
      </c>
      <c r="W63" s="22">
        <f t="shared" si="134"/>
        <v>934800</v>
      </c>
      <c r="X63" s="22">
        <f t="shared" si="134"/>
        <v>1249400</v>
      </c>
      <c r="Y63" s="22">
        <f t="shared" si="134"/>
        <v>1630500</v>
      </c>
      <c r="Z63" s="22">
        <f t="shared" si="134"/>
        <v>2024000</v>
      </c>
      <c r="AA63" s="22">
        <f t="shared" si="134"/>
        <v>2372800</v>
      </c>
      <c r="AB63" s="22">
        <f t="shared" si="134"/>
        <v>2688600</v>
      </c>
      <c r="AC63" s="22">
        <f t="shared" si="134"/>
        <v>2987600</v>
      </c>
      <c r="AD63" s="22">
        <f t="shared" si="134"/>
        <v>3232300</v>
      </c>
      <c r="AE63" s="22">
        <f t="shared" si="134"/>
        <v>3445100</v>
      </c>
      <c r="AG63" s="13"/>
      <c r="AH63" s="13"/>
      <c r="AI63" s="280" t="s">
        <v>661</v>
      </c>
      <c r="AJ63" s="158">
        <f>AJ62</f>
        <v>227250</v>
      </c>
      <c r="AK63" s="22">
        <f t="shared" ref="AK63:AU63" si="135">AJ63+AK62</f>
        <v>444300</v>
      </c>
      <c r="AL63" s="22">
        <f t="shared" si="135"/>
        <v>641800</v>
      </c>
      <c r="AM63" s="22">
        <f t="shared" si="135"/>
        <v>956200</v>
      </c>
      <c r="AN63" s="22">
        <f t="shared" si="135"/>
        <v>1281200</v>
      </c>
      <c r="AO63" s="22">
        <f t="shared" si="135"/>
        <v>1671900</v>
      </c>
      <c r="AP63" s="22">
        <f t="shared" si="135"/>
        <v>2075100</v>
      </c>
      <c r="AQ63" s="22">
        <f t="shared" si="135"/>
        <v>2429400</v>
      </c>
      <c r="AR63" s="22">
        <f t="shared" si="135"/>
        <v>2752700</v>
      </c>
      <c r="AS63" s="22">
        <f t="shared" si="135"/>
        <v>3059000</v>
      </c>
      <c r="AT63" s="22">
        <f t="shared" si="135"/>
        <v>3308800</v>
      </c>
      <c r="AU63" s="22">
        <f t="shared" si="135"/>
        <v>3526700</v>
      </c>
    </row>
    <row r="64" spans="1:48" s="22" customFormat="1">
      <c r="A64" s="131"/>
      <c r="B64" s="131"/>
      <c r="C64" s="24" t="s">
        <v>513</v>
      </c>
      <c r="D64" s="158">
        <f>SUM(D56,D60)</f>
        <v>235135</v>
      </c>
      <c r="E64" s="158">
        <f>SUM(E56,E60)</f>
        <v>235135</v>
      </c>
      <c r="F64" s="158">
        <f t="shared" ref="F64:O64" si="136">SUM(F56,F60)</f>
        <v>232989.15</v>
      </c>
      <c r="G64" s="158">
        <f t="shared" si="136"/>
        <v>280461.25</v>
      </c>
      <c r="H64" s="158">
        <f t="shared" si="136"/>
        <v>322231.5</v>
      </c>
      <c r="I64" s="158">
        <f t="shared" si="136"/>
        <v>385819.6</v>
      </c>
      <c r="J64" s="158">
        <f t="shared" si="136"/>
        <v>411000.85</v>
      </c>
      <c r="K64" s="158">
        <f t="shared" si="136"/>
        <v>354402.25</v>
      </c>
      <c r="L64" s="158">
        <f t="shared" si="136"/>
        <v>341500.6</v>
      </c>
      <c r="M64" s="158">
        <f t="shared" si="136"/>
        <v>278718.3</v>
      </c>
      <c r="N64" s="158">
        <f t="shared" si="136"/>
        <v>251251</v>
      </c>
      <c r="O64" s="158">
        <f t="shared" si="136"/>
        <v>227550</v>
      </c>
      <c r="P64" s="22">
        <f>SUM(D64:O64)</f>
        <v>3556194.5</v>
      </c>
      <c r="Q64" s="28">
        <f>SUM(Q56,Q60)</f>
        <v>7585</v>
      </c>
      <c r="R64" s="28">
        <f>SUM(R56,R60)</f>
        <v>237</v>
      </c>
      <c r="S64" s="10" t="s">
        <v>513</v>
      </c>
      <c r="T64" s="158">
        <f>SUM(T56,T60)</f>
        <v>235135</v>
      </c>
      <c r="U64" s="158">
        <f>SUM(U56,U60)</f>
        <v>235135</v>
      </c>
      <c r="V64" s="158">
        <f t="shared" ref="V64:AE64" si="137">SUM(V56,V60)</f>
        <v>232989.15</v>
      </c>
      <c r="W64" s="158">
        <f t="shared" si="137"/>
        <v>280461.25</v>
      </c>
      <c r="X64" s="158">
        <f t="shared" si="137"/>
        <v>322231.5</v>
      </c>
      <c r="Y64" s="158">
        <f t="shared" si="137"/>
        <v>385819.6</v>
      </c>
      <c r="Z64" s="158">
        <f t="shared" si="137"/>
        <v>411000.85</v>
      </c>
      <c r="AA64" s="158">
        <f t="shared" si="137"/>
        <v>354402.25</v>
      </c>
      <c r="AB64" s="158">
        <f t="shared" si="137"/>
        <v>341500.6</v>
      </c>
      <c r="AC64" s="158">
        <f t="shared" si="137"/>
        <v>278718.3</v>
      </c>
      <c r="AD64" s="158">
        <f t="shared" si="137"/>
        <v>251251</v>
      </c>
      <c r="AE64" s="158">
        <f t="shared" si="137"/>
        <v>227550</v>
      </c>
      <c r="AF64" s="22">
        <f>SUM(T64:AE64)</f>
        <v>3556194.5</v>
      </c>
      <c r="AG64" s="28">
        <f>SUM(AG56,AG60)</f>
        <v>7585</v>
      </c>
      <c r="AH64" s="28">
        <f>SUM(AH56,AH60)</f>
        <v>237</v>
      </c>
      <c r="AI64" s="10" t="s">
        <v>513</v>
      </c>
      <c r="AJ64" s="158">
        <f>SUM(AJ56,AJ60)</f>
        <v>235135</v>
      </c>
      <c r="AK64" s="158">
        <f>SUM(AK56,AK60)</f>
        <v>235135</v>
      </c>
      <c r="AL64" s="158">
        <f t="shared" ref="AL64:AU64" si="138">SUM(AL56,AL60)</f>
        <v>232989.15</v>
      </c>
      <c r="AM64" s="158">
        <f t="shared" si="138"/>
        <v>280461.25</v>
      </c>
      <c r="AN64" s="158">
        <f t="shared" si="138"/>
        <v>322231.5</v>
      </c>
      <c r="AO64" s="158">
        <f t="shared" si="138"/>
        <v>385819.6</v>
      </c>
      <c r="AP64" s="158">
        <f t="shared" si="138"/>
        <v>411000.85</v>
      </c>
      <c r="AQ64" s="158">
        <f t="shared" si="138"/>
        <v>354402.25</v>
      </c>
      <c r="AR64" s="158">
        <f t="shared" si="138"/>
        <v>341500.6</v>
      </c>
      <c r="AS64" s="158">
        <f t="shared" si="138"/>
        <v>278718.3</v>
      </c>
      <c r="AT64" s="158">
        <f t="shared" si="138"/>
        <v>251251</v>
      </c>
      <c r="AU64" s="158">
        <f t="shared" si="138"/>
        <v>227550</v>
      </c>
      <c r="AV64" s="22">
        <f>SUM(AJ64:AU64)</f>
        <v>3556194.5</v>
      </c>
    </row>
    <row r="65" spans="1:48" s="22" customFormat="1">
      <c r="A65" s="140">
        <f>A63/A66</f>
        <v>0.46971539578014848</v>
      </c>
      <c r="B65" s="140">
        <f>B63/B66</f>
        <v>9.0337928515953403E-2</v>
      </c>
      <c r="C65" s="10" t="s">
        <v>662</v>
      </c>
      <c r="D65" s="158">
        <f>D64</f>
        <v>235135</v>
      </c>
      <c r="E65" s="22">
        <f>D65+E64</f>
        <v>470270</v>
      </c>
      <c r="F65" s="22">
        <f t="shared" ref="F65:O65" si="139">E65+F64</f>
        <v>703259.15</v>
      </c>
      <c r="G65" s="22">
        <f t="shared" si="139"/>
        <v>983720.4</v>
      </c>
      <c r="H65" s="22">
        <f t="shared" si="139"/>
        <v>1305951.8999999999</v>
      </c>
      <c r="I65" s="152">
        <f t="shared" si="139"/>
        <v>1691771.5</v>
      </c>
      <c r="J65" s="152">
        <f t="shared" si="139"/>
        <v>2102772.35</v>
      </c>
      <c r="K65" s="152">
        <f t="shared" si="139"/>
        <v>2457174.6</v>
      </c>
      <c r="L65" s="152">
        <f t="shared" si="139"/>
        <v>2798675.2</v>
      </c>
      <c r="M65" s="152">
        <f t="shared" si="139"/>
        <v>3077393.5</v>
      </c>
      <c r="N65" s="22">
        <f t="shared" si="139"/>
        <v>3328644.5</v>
      </c>
      <c r="O65" s="22">
        <f t="shared" si="139"/>
        <v>3556194.5</v>
      </c>
      <c r="Q65" s="131"/>
      <c r="R65" s="131"/>
      <c r="S65" s="10" t="s">
        <v>662</v>
      </c>
      <c r="T65" s="158">
        <f>T64</f>
        <v>235135</v>
      </c>
      <c r="U65" s="22">
        <f t="shared" ref="U65:AE65" si="140">T65+U64</f>
        <v>470270</v>
      </c>
      <c r="V65" s="22">
        <f t="shared" si="140"/>
        <v>703259.15</v>
      </c>
      <c r="W65" s="22">
        <f t="shared" si="140"/>
        <v>983720.4</v>
      </c>
      <c r="X65" s="22">
        <f t="shared" si="140"/>
        <v>1305951.8999999999</v>
      </c>
      <c r="Y65" s="22">
        <f t="shared" si="140"/>
        <v>1691771.5</v>
      </c>
      <c r="Z65" s="22">
        <f t="shared" si="140"/>
        <v>2102772.35</v>
      </c>
      <c r="AA65" s="22">
        <f t="shared" si="140"/>
        <v>2457174.6</v>
      </c>
      <c r="AB65" s="22">
        <f t="shared" si="140"/>
        <v>2798675.2</v>
      </c>
      <c r="AC65" s="22">
        <f t="shared" si="140"/>
        <v>3077393.5</v>
      </c>
      <c r="AD65" s="22">
        <f t="shared" si="140"/>
        <v>3328644.5</v>
      </c>
      <c r="AE65" s="22">
        <f t="shared" si="140"/>
        <v>3556194.5</v>
      </c>
      <c r="AG65" s="13"/>
      <c r="AH65" s="13"/>
      <c r="AI65" s="10" t="s">
        <v>662</v>
      </c>
      <c r="AJ65" s="158">
        <f>AJ64</f>
        <v>235135</v>
      </c>
      <c r="AK65" s="22">
        <f t="shared" ref="AK65:AU65" si="141">AJ65+AK64</f>
        <v>470270</v>
      </c>
      <c r="AL65" s="22">
        <f t="shared" si="141"/>
        <v>703259.15</v>
      </c>
      <c r="AM65" s="22">
        <f t="shared" si="141"/>
        <v>983720.4</v>
      </c>
      <c r="AN65" s="22">
        <f t="shared" si="141"/>
        <v>1305951.8999999999</v>
      </c>
      <c r="AO65" s="22">
        <f t="shared" si="141"/>
        <v>1691771.5</v>
      </c>
      <c r="AP65" s="22">
        <f t="shared" si="141"/>
        <v>2102772.35</v>
      </c>
      <c r="AQ65" s="22">
        <f t="shared" si="141"/>
        <v>2457174.6</v>
      </c>
      <c r="AR65" s="22">
        <f t="shared" si="141"/>
        <v>2798675.2</v>
      </c>
      <c r="AS65" s="22">
        <f t="shared" si="141"/>
        <v>3077393.5</v>
      </c>
      <c r="AT65" s="22">
        <f t="shared" si="141"/>
        <v>3328644.5</v>
      </c>
      <c r="AU65" s="22">
        <f t="shared" si="141"/>
        <v>3556194.5</v>
      </c>
    </row>
    <row r="66" spans="1:48" s="22" customFormat="1">
      <c r="A66" s="143">
        <f>A52+A63</f>
        <v>16148.076192823322</v>
      </c>
      <c r="B66" s="143">
        <f>B52+B63</f>
        <v>2623.4827817437335</v>
      </c>
      <c r="C66" s="27" t="s">
        <v>418</v>
      </c>
      <c r="D66" s="158">
        <f>SUM(D52,D62)</f>
        <v>485855.36197752296</v>
      </c>
      <c r="E66" s="158">
        <f>SUM(E52,E62)</f>
        <v>479455.36197752296</v>
      </c>
      <c r="F66" s="158">
        <f t="shared" ref="F66:O66" si="142">SUM(F52,F62)</f>
        <v>508362.06562571833</v>
      </c>
      <c r="G66" s="158">
        <f t="shared" si="142"/>
        <v>1018470.1939860121</v>
      </c>
      <c r="H66" s="158">
        <f t="shared" si="142"/>
        <v>1517792.1570913212</v>
      </c>
      <c r="I66" s="158">
        <f t="shared" si="142"/>
        <v>2154481.1146101886</v>
      </c>
      <c r="J66" s="158">
        <f t="shared" si="142"/>
        <v>2419444.9101704606</v>
      </c>
      <c r="K66" s="158">
        <f t="shared" si="142"/>
        <v>2003165.9403589857</v>
      </c>
      <c r="L66" s="158">
        <f t="shared" si="142"/>
        <v>1637708.8344241108</v>
      </c>
      <c r="M66" s="158">
        <f t="shared" si="142"/>
        <v>1061333.9183631716</v>
      </c>
      <c r="N66" s="158">
        <f t="shared" si="142"/>
        <v>659536.19113609684</v>
      </c>
      <c r="O66" s="158">
        <f t="shared" si="142"/>
        <v>462692.28578469966</v>
      </c>
      <c r="P66" s="143">
        <f>SUM(D66:O66)</f>
        <v>14408298.335505811</v>
      </c>
      <c r="Q66" s="131"/>
      <c r="R66" s="131"/>
      <c r="S66" s="27" t="s">
        <v>418</v>
      </c>
      <c r="T66" s="158">
        <f>SUM(T52,T62)</f>
        <v>489141.50775686617</v>
      </c>
      <c r="U66" s="158">
        <f>SUM(U52,U62)</f>
        <v>478941.50775686617</v>
      </c>
      <c r="V66" s="158">
        <f t="shared" ref="V66:AE66" si="143">SUM(V52,V62)</f>
        <v>505872.90380093502</v>
      </c>
      <c r="W66" s="158">
        <f t="shared" si="143"/>
        <v>1034661.6112845544</v>
      </c>
      <c r="X66" s="158">
        <f t="shared" si="143"/>
        <v>1532816.929857672</v>
      </c>
      <c r="Y66" s="158">
        <f t="shared" si="143"/>
        <v>2175690.5630400246</v>
      </c>
      <c r="Z66" s="158">
        <f t="shared" si="143"/>
        <v>2443379.5094442959</v>
      </c>
      <c r="AA66" s="158">
        <f t="shared" si="143"/>
        <v>2029738.1163391944</v>
      </c>
      <c r="AB66" s="158">
        <f t="shared" si="143"/>
        <v>1661082.0173685076</v>
      </c>
      <c r="AC66" s="158">
        <f t="shared" si="143"/>
        <v>1076077.6304710913</v>
      </c>
      <c r="AD66" s="158">
        <f t="shared" si="143"/>
        <v>675026.4334555997</v>
      </c>
      <c r="AE66" s="158">
        <f t="shared" si="143"/>
        <v>471130.49137761246</v>
      </c>
      <c r="AF66" s="143">
        <f>SUM(T66:AE66)</f>
        <v>14573559.221953221</v>
      </c>
      <c r="AG66" s="13"/>
      <c r="AH66" s="13"/>
      <c r="AI66" s="27" t="s">
        <v>418</v>
      </c>
      <c r="AJ66" s="158">
        <f>SUM(AJ52,AJ62)</f>
        <v>495864.86878471193</v>
      </c>
      <c r="AK66" s="158">
        <f>SUM(AK52,AK62)</f>
        <v>485664.86878471193</v>
      </c>
      <c r="AL66" s="158">
        <f t="shared" ref="AL66:AU66" si="144">SUM(AL52,AL62)</f>
        <v>513017.05939716566</v>
      </c>
      <c r="AM66" s="158">
        <f t="shared" si="144"/>
        <v>1046074.755282233</v>
      </c>
      <c r="AN66" s="158">
        <f t="shared" si="144"/>
        <v>1552230.5248122846</v>
      </c>
      <c r="AO66" s="158">
        <f t="shared" si="144"/>
        <v>2198731.735896471</v>
      </c>
      <c r="AP66" s="158">
        <f t="shared" si="144"/>
        <v>2468487.2283950937</v>
      </c>
      <c r="AQ66" s="158">
        <f t="shared" si="144"/>
        <v>2047840.8591751985</v>
      </c>
      <c r="AR66" s="158">
        <f t="shared" si="144"/>
        <v>1678562.0690988947</v>
      </c>
      <c r="AS66" s="158">
        <f t="shared" si="144"/>
        <v>1088993.0337746646</v>
      </c>
      <c r="AT66" s="158">
        <f t="shared" si="144"/>
        <v>683058.38398383046</v>
      </c>
      <c r="AU66" s="158">
        <f t="shared" si="144"/>
        <v>477849.87301746313</v>
      </c>
      <c r="AV66" s="143">
        <f>SUM(AJ66:AU66)</f>
        <v>14736375.260402724</v>
      </c>
    </row>
    <row r="67" spans="1:48" s="22" customFormat="1">
      <c r="A67" s="131"/>
      <c r="B67" s="131"/>
      <c r="C67" s="27" t="s">
        <v>663</v>
      </c>
      <c r="D67" s="158">
        <f>D66</f>
        <v>485855.36197752296</v>
      </c>
      <c r="E67" s="22">
        <f>D67+E66</f>
        <v>965310.72395504592</v>
      </c>
      <c r="F67" s="22">
        <f t="shared" ref="F67:O67" si="145">E67+F66</f>
        <v>1473672.7895807642</v>
      </c>
      <c r="G67" s="22">
        <f t="shared" si="145"/>
        <v>2492142.9835667764</v>
      </c>
      <c r="H67" s="22">
        <f t="shared" si="145"/>
        <v>4009935.1406580973</v>
      </c>
      <c r="I67" s="152">
        <f t="shared" si="145"/>
        <v>6164416.255268286</v>
      </c>
      <c r="J67" s="152">
        <f t="shared" si="145"/>
        <v>8583861.165438747</v>
      </c>
      <c r="K67" s="152">
        <f t="shared" si="145"/>
        <v>10587027.105797732</v>
      </c>
      <c r="L67" s="152">
        <f t="shared" si="145"/>
        <v>12224735.940221842</v>
      </c>
      <c r="M67" s="152">
        <f t="shared" si="145"/>
        <v>13286069.858585015</v>
      </c>
      <c r="N67" s="22">
        <f t="shared" si="145"/>
        <v>13945606.049721112</v>
      </c>
      <c r="O67" s="22">
        <f t="shared" si="145"/>
        <v>14408298.335505811</v>
      </c>
      <c r="Q67" s="131"/>
      <c r="R67" s="131"/>
      <c r="S67" s="27" t="s">
        <v>663</v>
      </c>
      <c r="T67" s="158">
        <f>T66</f>
        <v>489141.50775686617</v>
      </c>
      <c r="U67" s="22">
        <f t="shared" ref="U67:AE67" si="146">T67+U66</f>
        <v>968083.01551373233</v>
      </c>
      <c r="V67" s="22">
        <f t="shared" si="146"/>
        <v>1473955.9193146673</v>
      </c>
      <c r="W67" s="22">
        <f t="shared" si="146"/>
        <v>2508617.5305992216</v>
      </c>
      <c r="X67" s="22">
        <f t="shared" si="146"/>
        <v>4041434.4604568938</v>
      </c>
      <c r="Y67" s="22">
        <f t="shared" si="146"/>
        <v>6217125.0234969184</v>
      </c>
      <c r="Z67" s="22">
        <f t="shared" si="146"/>
        <v>8660504.5329412147</v>
      </c>
      <c r="AA67" s="22">
        <f t="shared" si="146"/>
        <v>10690242.649280408</v>
      </c>
      <c r="AB67" s="22">
        <f t="shared" si="146"/>
        <v>12351324.666648917</v>
      </c>
      <c r="AC67" s="22">
        <f t="shared" si="146"/>
        <v>13427402.297120009</v>
      </c>
      <c r="AD67" s="22">
        <f t="shared" si="146"/>
        <v>14102428.730575608</v>
      </c>
      <c r="AE67" s="22">
        <f t="shared" si="146"/>
        <v>14573559.221953221</v>
      </c>
      <c r="AG67" s="13"/>
      <c r="AH67" s="13"/>
      <c r="AI67" s="27" t="s">
        <v>663</v>
      </c>
      <c r="AJ67" s="158">
        <f>AJ66</f>
        <v>495864.86878471193</v>
      </c>
      <c r="AK67" s="22">
        <f t="shared" ref="AK67:AU67" si="147">AJ67+AK66</f>
        <v>981529.73756942386</v>
      </c>
      <c r="AL67" s="22">
        <f t="shared" si="147"/>
        <v>1494546.7969665895</v>
      </c>
      <c r="AM67" s="22">
        <f t="shared" si="147"/>
        <v>2540621.5522488225</v>
      </c>
      <c r="AN67" s="22">
        <f t="shared" si="147"/>
        <v>4092852.0770611074</v>
      </c>
      <c r="AO67" s="22">
        <f t="shared" si="147"/>
        <v>6291583.8129575783</v>
      </c>
      <c r="AP67" s="22">
        <f t="shared" si="147"/>
        <v>8760071.0413526725</v>
      </c>
      <c r="AQ67" s="22">
        <f t="shared" si="147"/>
        <v>10807911.90052787</v>
      </c>
      <c r="AR67" s="22">
        <f t="shared" si="147"/>
        <v>12486473.969626766</v>
      </c>
      <c r="AS67" s="22">
        <f t="shared" si="147"/>
        <v>13575467.00340143</v>
      </c>
      <c r="AT67" s="22">
        <f t="shared" si="147"/>
        <v>14258525.38738526</v>
      </c>
      <c r="AU67" s="22">
        <f t="shared" si="147"/>
        <v>14736375.260402724</v>
      </c>
    </row>
    <row r="68" spans="1:48" s="22" customFormat="1">
      <c r="A68" s="13"/>
      <c r="B68" s="13"/>
      <c r="D68" s="158">
        <f>D54/D36</f>
        <v>658.06451612903231</v>
      </c>
      <c r="E68" s="158">
        <f t="shared" ref="E68:O68" si="148">E54/E36</f>
        <v>612.90322580645159</v>
      </c>
      <c r="F68" s="158">
        <f t="shared" si="148"/>
        <v>640</v>
      </c>
      <c r="G68" s="158">
        <f t="shared" si="148"/>
        <v>535.48387096774195</v>
      </c>
      <c r="H68" s="158">
        <f t="shared" si="148"/>
        <v>916.66666666666663</v>
      </c>
      <c r="I68" s="158">
        <f t="shared" si="148"/>
        <v>1183.8709677419354</v>
      </c>
      <c r="J68" s="158">
        <f t="shared" si="148"/>
        <v>1390.3225806451612</v>
      </c>
      <c r="K68" s="158">
        <f t="shared" si="148"/>
        <v>1189.2857142857142</v>
      </c>
      <c r="L68" s="158">
        <f t="shared" si="148"/>
        <v>845.16129032258061</v>
      </c>
      <c r="M68" s="158">
        <f t="shared" si="148"/>
        <v>973.33333333333337</v>
      </c>
      <c r="N68" s="158">
        <f t="shared" si="148"/>
        <v>380.64516129032256</v>
      </c>
      <c r="O68" s="158">
        <f t="shared" si="148"/>
        <v>376.66666666666669</v>
      </c>
      <c r="Q68" s="13"/>
      <c r="R68" s="13"/>
      <c r="T68" s="158">
        <f>T54/T36</f>
        <v>70.967741935483872</v>
      </c>
      <c r="U68" s="158">
        <f t="shared" ref="U68:AE68" si="149">U54/U36</f>
        <v>64.516129032258064</v>
      </c>
      <c r="V68" s="158">
        <f t="shared" si="149"/>
        <v>80</v>
      </c>
      <c r="W68" s="158">
        <f t="shared" si="149"/>
        <v>264.51612903225805</v>
      </c>
      <c r="X68" s="158">
        <f t="shared" si="149"/>
        <v>486.66666666666669</v>
      </c>
      <c r="Y68" s="158">
        <f t="shared" si="149"/>
        <v>680.64516129032256</v>
      </c>
      <c r="Z68" s="158">
        <f t="shared" si="149"/>
        <v>758.06451612903231</v>
      </c>
      <c r="AA68" s="158">
        <f t="shared" si="149"/>
        <v>671.42857142857144</v>
      </c>
      <c r="AB68" s="158">
        <f t="shared" si="149"/>
        <v>509.67741935483872</v>
      </c>
      <c r="AC68" s="158">
        <f t="shared" si="149"/>
        <v>300</v>
      </c>
      <c r="AD68" s="158">
        <f t="shared" si="149"/>
        <v>151.61290322580646</v>
      </c>
      <c r="AE68" s="158">
        <f t="shared" si="149"/>
        <v>93.333333333333329</v>
      </c>
      <c r="AG68" s="13"/>
      <c r="AH68" s="13"/>
      <c r="AJ68" s="158">
        <f>AJ54/AJ36</f>
        <v>72.58064516129032</v>
      </c>
      <c r="AK68" s="158">
        <f t="shared" ref="AK68:AU68" si="150">AK54/AK36</f>
        <v>66.129032258064512</v>
      </c>
      <c r="AL68" s="158">
        <f t="shared" si="150"/>
        <v>83.333333333333329</v>
      </c>
      <c r="AM68" s="158">
        <f t="shared" si="150"/>
        <v>270.96774193548384</v>
      </c>
      <c r="AN68" s="158">
        <f t="shared" si="150"/>
        <v>500</v>
      </c>
      <c r="AO68" s="158">
        <f t="shared" si="150"/>
        <v>700</v>
      </c>
      <c r="AP68" s="158">
        <f t="shared" si="150"/>
        <v>780.64516129032256</v>
      </c>
      <c r="AQ68" s="158">
        <f t="shared" si="150"/>
        <v>689.28571428571433</v>
      </c>
      <c r="AR68" s="158">
        <f t="shared" si="150"/>
        <v>525.80645161290317</v>
      </c>
      <c r="AS68" s="158">
        <f t="shared" si="150"/>
        <v>310</v>
      </c>
      <c r="AT68" s="158">
        <f t="shared" si="150"/>
        <v>154.83870967741936</v>
      </c>
      <c r="AU68" s="158">
        <f t="shared" si="150"/>
        <v>96.666666666666671</v>
      </c>
    </row>
    <row r="69" spans="1:48">
      <c r="D69" s="22"/>
      <c r="E69" s="22"/>
      <c r="F69" s="22"/>
      <c r="G69" s="22"/>
      <c r="H69" s="22"/>
      <c r="I69" s="152"/>
      <c r="J69" s="152"/>
      <c r="K69" s="152"/>
      <c r="L69" s="152"/>
      <c r="M69" s="152"/>
      <c r="N69" s="22"/>
      <c r="O69" s="22"/>
      <c r="P69" s="151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151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151"/>
    </row>
    <row r="70" spans="1:48">
      <c r="C70" s="11" t="s">
        <v>83</v>
      </c>
      <c r="D70" s="149">
        <v>40360</v>
      </c>
      <c r="E70" s="149">
        <v>40391</v>
      </c>
      <c r="F70" s="149">
        <v>40422</v>
      </c>
      <c r="G70" s="149">
        <v>40452</v>
      </c>
      <c r="H70" s="149">
        <v>40483</v>
      </c>
      <c r="I70" s="149">
        <v>40513</v>
      </c>
      <c r="J70" s="149">
        <v>40544</v>
      </c>
      <c r="K70" s="149">
        <v>40575</v>
      </c>
      <c r="L70" s="149">
        <v>40603</v>
      </c>
      <c r="M70" s="149">
        <v>40634</v>
      </c>
      <c r="N70" s="149">
        <v>40664</v>
      </c>
      <c r="O70" s="149">
        <v>40695</v>
      </c>
      <c r="P70" s="11" t="s">
        <v>758</v>
      </c>
      <c r="S70" s="13"/>
      <c r="T70" s="149"/>
      <c r="U70" s="149"/>
      <c r="V70" s="149"/>
      <c r="W70" s="149"/>
      <c r="X70" s="149"/>
      <c r="Y70" s="149"/>
      <c r="Z70" s="149"/>
      <c r="AA70" s="149"/>
      <c r="AB70" s="149"/>
      <c r="AC70" s="149"/>
      <c r="AD70" s="149"/>
      <c r="AE70" s="149"/>
      <c r="AF70" s="11"/>
      <c r="AI70" s="13"/>
      <c r="AJ70" s="183"/>
      <c r="AK70" s="183"/>
      <c r="AL70" s="183"/>
      <c r="AM70" s="183"/>
      <c r="AN70" s="183"/>
      <c r="AO70" s="183"/>
      <c r="AP70" s="183"/>
      <c r="AQ70" s="183"/>
      <c r="AR70" s="183"/>
      <c r="AS70" s="183"/>
      <c r="AT70" s="183"/>
      <c r="AU70" s="183"/>
      <c r="AV70" s="13"/>
    </row>
    <row r="71" spans="1:48" s="22" customFormat="1">
      <c r="C71" s="22" t="s">
        <v>501</v>
      </c>
      <c r="D71" s="132">
        <v>104191.9</v>
      </c>
      <c r="E71" s="132">
        <v>107316.7</v>
      </c>
      <c r="F71" s="132">
        <v>125967</v>
      </c>
      <c r="G71" s="132">
        <v>269588</v>
      </c>
      <c r="H71" s="132">
        <v>718486.4</v>
      </c>
      <c r="I71" s="153">
        <v>1616361.7</v>
      </c>
      <c r="J71" s="153">
        <v>1566598.5</v>
      </c>
      <c r="K71" s="153">
        <v>994288.5</v>
      </c>
      <c r="L71" s="434">
        <v>764534</v>
      </c>
      <c r="M71" s="434">
        <v>326500.7</v>
      </c>
      <c r="N71" s="434">
        <v>159254.29999999999</v>
      </c>
      <c r="O71" s="434">
        <v>123802</v>
      </c>
      <c r="P71" s="59">
        <f>SUM(D71:O71)</f>
        <v>6876889.7000000002</v>
      </c>
      <c r="S71" s="28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59"/>
      <c r="AI71" s="28"/>
      <c r="AJ71" s="279"/>
      <c r="AK71" s="279"/>
      <c r="AL71" s="279"/>
      <c r="AM71" s="279"/>
      <c r="AN71" s="279"/>
      <c r="AO71" s="279"/>
      <c r="AP71" s="279"/>
      <c r="AQ71" s="279"/>
      <c r="AR71" s="279"/>
      <c r="AS71" s="279"/>
      <c r="AT71" s="279"/>
      <c r="AU71" s="279"/>
      <c r="AV71" s="131"/>
    </row>
    <row r="72" spans="1:48" s="22" customFormat="1">
      <c r="C72" s="22" t="s">
        <v>664</v>
      </c>
      <c r="D72" s="152">
        <f>D71</f>
        <v>104191.9</v>
      </c>
      <c r="E72" s="152">
        <f t="shared" ref="E72:O72" si="151">D72+E71</f>
        <v>211508.59999999998</v>
      </c>
      <c r="F72" s="152">
        <f t="shared" si="151"/>
        <v>337475.6</v>
      </c>
      <c r="G72" s="152">
        <f t="shared" si="151"/>
        <v>607063.6</v>
      </c>
      <c r="H72" s="152">
        <f t="shared" si="151"/>
        <v>1325550</v>
      </c>
      <c r="I72" s="152">
        <f t="shared" si="151"/>
        <v>2941911.7</v>
      </c>
      <c r="J72" s="152">
        <f t="shared" si="151"/>
        <v>4508510.2</v>
      </c>
      <c r="K72" s="152">
        <f t="shared" si="151"/>
        <v>5502798.7000000002</v>
      </c>
      <c r="L72" s="152">
        <f t="shared" si="151"/>
        <v>6267332.7000000002</v>
      </c>
      <c r="M72" s="152">
        <f t="shared" si="151"/>
        <v>6593833.4000000004</v>
      </c>
      <c r="N72" s="152">
        <f t="shared" si="151"/>
        <v>6753087.7000000002</v>
      </c>
      <c r="O72" s="152">
        <f t="shared" si="151"/>
        <v>6876889.7000000002</v>
      </c>
      <c r="P72" s="59"/>
      <c r="S72" s="28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59"/>
      <c r="AI72" s="28"/>
      <c r="AJ72" s="279"/>
      <c r="AK72" s="279"/>
      <c r="AL72" s="279"/>
      <c r="AM72" s="279"/>
      <c r="AN72" s="279"/>
      <c r="AO72" s="279"/>
      <c r="AP72" s="279"/>
      <c r="AQ72" s="279"/>
      <c r="AR72" s="279"/>
      <c r="AS72" s="279"/>
      <c r="AT72" s="279"/>
      <c r="AU72" s="279"/>
      <c r="AV72" s="131"/>
    </row>
    <row r="73" spans="1:48" s="22" customFormat="1">
      <c r="C73" s="22" t="s">
        <v>514</v>
      </c>
      <c r="D73" s="152">
        <f>D71</f>
        <v>104191.9</v>
      </c>
      <c r="E73" s="152">
        <f>E71</f>
        <v>107316.7</v>
      </c>
      <c r="F73" s="152">
        <f>F71</f>
        <v>125967</v>
      </c>
      <c r="G73" s="27">
        <f t="shared" ref="G73:M73" si="152">AVERAGE($D$71:$F$71)+((G71-AVERAGE($D$71:$F$71))*G2/G3)</f>
        <v>302647.78755274264</v>
      </c>
      <c r="H73" s="27">
        <f t="shared" si="152"/>
        <v>660217.6948717949</v>
      </c>
      <c r="I73" s="327">
        <f t="shared" si="152"/>
        <v>1092164.4486680327</v>
      </c>
      <c r="J73" s="327">
        <f t="shared" si="152"/>
        <v>1257948.1588800424</v>
      </c>
      <c r="K73" s="327">
        <f t="shared" si="152"/>
        <v>1057781.0125074538</v>
      </c>
      <c r="L73" s="327">
        <f t="shared" si="152"/>
        <v>697764.88554666669</v>
      </c>
      <c r="M73" s="327">
        <f t="shared" si="152"/>
        <v>384283.08500000002</v>
      </c>
      <c r="N73" s="152">
        <f>N71</f>
        <v>159254.29999999999</v>
      </c>
      <c r="O73" s="152">
        <f>O71</f>
        <v>123802</v>
      </c>
      <c r="P73" s="59">
        <f>SUM(D73:O73)</f>
        <v>6073338.9730267329</v>
      </c>
      <c r="S73" s="28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59"/>
      <c r="AI73" s="28"/>
      <c r="AJ73" s="279"/>
      <c r="AK73" s="279"/>
      <c r="AL73" s="279"/>
      <c r="AM73" s="279"/>
      <c r="AN73" s="279"/>
      <c r="AO73" s="279"/>
      <c r="AP73" s="279"/>
      <c r="AQ73" s="279"/>
      <c r="AR73" s="279"/>
      <c r="AS73" s="279"/>
      <c r="AT73" s="279"/>
      <c r="AU73" s="279"/>
      <c r="AV73" s="131"/>
    </row>
    <row r="74" spans="1:48" s="22" customFormat="1">
      <c r="C74" s="22" t="s">
        <v>665</v>
      </c>
      <c r="D74" s="152">
        <f>D73</f>
        <v>104191.9</v>
      </c>
      <c r="E74" s="152">
        <f t="shared" ref="E74:O74" si="153">D74+E73</f>
        <v>211508.59999999998</v>
      </c>
      <c r="F74" s="152">
        <f t="shared" si="153"/>
        <v>337475.6</v>
      </c>
      <c r="G74" s="152">
        <f t="shared" si="153"/>
        <v>640123.38755274261</v>
      </c>
      <c r="H74" s="152">
        <f t="shared" si="153"/>
        <v>1300341.0824245375</v>
      </c>
      <c r="I74" s="152">
        <f t="shared" si="153"/>
        <v>2392505.5310925702</v>
      </c>
      <c r="J74" s="152">
        <f t="shared" si="153"/>
        <v>3650453.6899726125</v>
      </c>
      <c r="K74" s="152">
        <f t="shared" si="153"/>
        <v>4708234.7024800666</v>
      </c>
      <c r="L74" s="152">
        <f t="shared" si="153"/>
        <v>5405999.5880267331</v>
      </c>
      <c r="M74" s="152">
        <f t="shared" si="153"/>
        <v>5790282.6730267331</v>
      </c>
      <c r="N74" s="152">
        <f t="shared" si="153"/>
        <v>5949536.9730267329</v>
      </c>
      <c r="O74" s="152">
        <f t="shared" si="153"/>
        <v>6073338.9730267329</v>
      </c>
      <c r="P74" s="59"/>
      <c r="S74" s="28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59"/>
      <c r="AI74" s="28"/>
      <c r="AJ74" s="279"/>
      <c r="AK74" s="279"/>
      <c r="AL74" s="279"/>
      <c r="AM74" s="279"/>
      <c r="AN74" s="279"/>
      <c r="AO74" s="279"/>
      <c r="AP74" s="279"/>
      <c r="AQ74" s="279"/>
      <c r="AR74" s="279"/>
      <c r="AS74" s="279"/>
      <c r="AT74" s="279"/>
      <c r="AU74" s="279"/>
      <c r="AV74" s="131"/>
    </row>
    <row r="75" spans="1:48" s="22" customFormat="1">
      <c r="C75" s="22" t="s">
        <v>503</v>
      </c>
      <c r="D75" s="132">
        <v>74535.899999999994</v>
      </c>
      <c r="E75" s="132">
        <v>82498.3</v>
      </c>
      <c r="F75" s="132">
        <v>85349</v>
      </c>
      <c r="G75" s="132">
        <v>131832</v>
      </c>
      <c r="H75" s="132">
        <v>271978.7</v>
      </c>
      <c r="I75" s="153">
        <v>618245.9</v>
      </c>
      <c r="J75" s="153">
        <v>648056.80000000005</v>
      </c>
      <c r="K75" s="153">
        <v>413881</v>
      </c>
      <c r="L75" s="434">
        <v>355789.4</v>
      </c>
      <c r="M75" s="434">
        <v>184651.7</v>
      </c>
      <c r="N75" s="434">
        <v>108581.9</v>
      </c>
      <c r="O75" s="434">
        <v>87293.9</v>
      </c>
      <c r="P75" s="59">
        <f>SUM(D75:O75)</f>
        <v>3062694.5</v>
      </c>
      <c r="S75" s="28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59"/>
      <c r="AI75" s="28"/>
      <c r="AJ75" s="279"/>
      <c r="AK75" s="279"/>
      <c r="AL75" s="279"/>
      <c r="AM75" s="279"/>
      <c r="AN75" s="279"/>
      <c r="AO75" s="279"/>
      <c r="AP75" s="279"/>
      <c r="AQ75" s="279"/>
      <c r="AR75" s="279"/>
      <c r="AS75" s="279"/>
      <c r="AT75" s="279"/>
      <c r="AU75" s="279"/>
      <c r="AV75" s="131"/>
    </row>
    <row r="76" spans="1:48" s="22" customFormat="1">
      <c r="C76" s="22" t="s">
        <v>666</v>
      </c>
      <c r="D76" s="152">
        <f>D75</f>
        <v>74535.899999999994</v>
      </c>
      <c r="E76" s="152">
        <f t="shared" ref="E76:O76" si="154">D76+E75</f>
        <v>157034.20000000001</v>
      </c>
      <c r="F76" s="152">
        <f t="shared" si="154"/>
        <v>242383.2</v>
      </c>
      <c r="G76" s="152">
        <f t="shared" si="154"/>
        <v>374215.2</v>
      </c>
      <c r="H76" s="152">
        <f t="shared" si="154"/>
        <v>646193.9</v>
      </c>
      <c r="I76" s="152">
        <f t="shared" si="154"/>
        <v>1264439.8</v>
      </c>
      <c r="J76" s="152">
        <f t="shared" si="154"/>
        <v>1912496.6</v>
      </c>
      <c r="K76" s="152">
        <f t="shared" si="154"/>
        <v>2326377.6</v>
      </c>
      <c r="L76" s="152">
        <f t="shared" si="154"/>
        <v>2682167</v>
      </c>
      <c r="M76" s="152">
        <f t="shared" si="154"/>
        <v>2866818.7</v>
      </c>
      <c r="N76" s="152">
        <f t="shared" si="154"/>
        <v>2975400.6</v>
      </c>
      <c r="O76" s="152">
        <f t="shared" si="154"/>
        <v>3062694.5</v>
      </c>
      <c r="P76" s="59"/>
      <c r="S76" s="28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59"/>
      <c r="AI76" s="28"/>
      <c r="AJ76" s="279"/>
      <c r="AK76" s="279"/>
      <c r="AL76" s="279"/>
      <c r="AM76" s="279"/>
      <c r="AN76" s="279"/>
      <c r="AO76" s="279"/>
      <c r="AP76" s="279"/>
      <c r="AQ76" s="279"/>
      <c r="AR76" s="279"/>
      <c r="AS76" s="279"/>
      <c r="AT76" s="279"/>
      <c r="AU76" s="279"/>
      <c r="AV76" s="131"/>
    </row>
    <row r="77" spans="1:48" s="22" customFormat="1">
      <c r="C77" s="22" t="s">
        <v>515</v>
      </c>
      <c r="D77" s="152">
        <f>D75</f>
        <v>74535.899999999994</v>
      </c>
      <c r="E77" s="152">
        <f>E75</f>
        <v>82498.3</v>
      </c>
      <c r="F77" s="152">
        <f>F75</f>
        <v>85349</v>
      </c>
      <c r="G77" s="27">
        <f t="shared" ref="G77:M77" si="155">AVERAGE($D$75:$F$75)+((G75-AVERAGE($D$75:$F$75))*G2/G3)</f>
        <v>142572.5075949367</v>
      </c>
      <c r="H77" s="27">
        <f t="shared" si="155"/>
        <v>253595.5942307692</v>
      </c>
      <c r="I77" s="327">
        <f t="shared" si="155"/>
        <v>430908.80952868855</v>
      </c>
      <c r="J77" s="327">
        <f t="shared" si="155"/>
        <v>527649.03261146497</v>
      </c>
      <c r="K77" s="327">
        <f t="shared" si="155"/>
        <v>437864.42692307691</v>
      </c>
      <c r="L77" s="327">
        <f t="shared" si="155"/>
        <v>327629.91200000001</v>
      </c>
      <c r="M77" s="327">
        <f t="shared" si="155"/>
        <v>212693.17100000003</v>
      </c>
      <c r="N77" s="152">
        <f>N75</f>
        <v>108581.9</v>
      </c>
      <c r="O77" s="152">
        <f>O75</f>
        <v>87293.9</v>
      </c>
      <c r="P77" s="59">
        <f>SUM(D77:O77)</f>
        <v>2771172.453888936</v>
      </c>
      <c r="S77" s="28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59"/>
      <c r="AI77" s="28"/>
      <c r="AJ77" s="279"/>
      <c r="AK77" s="279"/>
      <c r="AL77" s="279"/>
      <c r="AM77" s="279"/>
      <c r="AN77" s="279"/>
      <c r="AO77" s="279"/>
      <c r="AP77" s="279"/>
      <c r="AQ77" s="279"/>
      <c r="AR77" s="279"/>
      <c r="AS77" s="279"/>
      <c r="AT77" s="279"/>
      <c r="AU77" s="279"/>
      <c r="AV77" s="131"/>
    </row>
    <row r="78" spans="1:48" s="22" customFormat="1">
      <c r="C78" s="22" t="s">
        <v>667</v>
      </c>
      <c r="D78" s="152">
        <f>D77</f>
        <v>74535.899999999994</v>
      </c>
      <c r="E78" s="152">
        <f t="shared" ref="E78:O78" si="156">D78+E77</f>
        <v>157034.20000000001</v>
      </c>
      <c r="F78" s="152">
        <f t="shared" si="156"/>
        <v>242383.2</v>
      </c>
      <c r="G78" s="152">
        <f t="shared" si="156"/>
        <v>384955.70759493671</v>
      </c>
      <c r="H78" s="152">
        <f t="shared" si="156"/>
        <v>638551.30182570592</v>
      </c>
      <c r="I78" s="152">
        <f t="shared" si="156"/>
        <v>1069460.1113543944</v>
      </c>
      <c r="J78" s="152">
        <f t="shared" si="156"/>
        <v>1597109.1439658594</v>
      </c>
      <c r="K78" s="152">
        <f t="shared" si="156"/>
        <v>2034973.5708889363</v>
      </c>
      <c r="L78" s="152">
        <f t="shared" si="156"/>
        <v>2362603.4828889361</v>
      </c>
      <c r="M78" s="152">
        <f t="shared" si="156"/>
        <v>2575296.6538889362</v>
      </c>
      <c r="N78" s="152">
        <f t="shared" si="156"/>
        <v>2683878.5538889361</v>
      </c>
      <c r="O78" s="152">
        <f t="shared" si="156"/>
        <v>2771172.453888936</v>
      </c>
      <c r="P78" s="59"/>
      <c r="S78" s="28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59"/>
      <c r="AI78" s="28"/>
      <c r="AJ78" s="279"/>
      <c r="AK78" s="279"/>
      <c r="AL78" s="279"/>
      <c r="AM78" s="279"/>
      <c r="AN78" s="279"/>
      <c r="AO78" s="279"/>
      <c r="AP78" s="279"/>
      <c r="AQ78" s="279"/>
      <c r="AR78" s="279"/>
      <c r="AS78" s="279"/>
      <c r="AT78" s="279"/>
      <c r="AU78" s="279"/>
      <c r="AV78" s="131"/>
    </row>
    <row r="79" spans="1:48" s="22" customFormat="1">
      <c r="C79" s="22" t="s">
        <v>408</v>
      </c>
      <c r="D79" s="132">
        <v>57280</v>
      </c>
      <c r="E79" s="132">
        <v>60834.8</v>
      </c>
      <c r="F79" s="132">
        <v>65658</v>
      </c>
      <c r="G79" s="132">
        <v>93332</v>
      </c>
      <c r="H79" s="132">
        <v>162707.4</v>
      </c>
      <c r="I79" s="153">
        <v>274133.2</v>
      </c>
      <c r="J79" s="153">
        <v>274682.59999999998</v>
      </c>
      <c r="K79" s="153">
        <v>191027.3</v>
      </c>
      <c r="L79" s="434">
        <v>185781.7</v>
      </c>
      <c r="M79" s="434">
        <v>106651.8</v>
      </c>
      <c r="N79" s="434">
        <v>85960.9</v>
      </c>
      <c r="O79" s="434">
        <v>62806.1</v>
      </c>
      <c r="P79" s="59">
        <f>SUM(D79:O79)</f>
        <v>1620855.7999999998</v>
      </c>
      <c r="S79" s="28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59"/>
      <c r="AI79" s="28"/>
      <c r="AJ79" s="279"/>
      <c r="AK79" s="279"/>
      <c r="AL79" s="279"/>
      <c r="AM79" s="279"/>
      <c r="AN79" s="279"/>
      <c r="AO79" s="279"/>
      <c r="AP79" s="279"/>
      <c r="AQ79" s="279"/>
      <c r="AR79" s="279"/>
      <c r="AS79" s="279"/>
      <c r="AT79" s="279"/>
      <c r="AU79" s="279"/>
      <c r="AV79" s="131"/>
    </row>
    <row r="80" spans="1:48" s="22" customFormat="1">
      <c r="C80" s="22" t="s">
        <v>654</v>
      </c>
      <c r="D80" s="152">
        <f>D79</f>
        <v>57280</v>
      </c>
      <c r="E80" s="152">
        <f t="shared" ref="E80:O80" si="157">D80+E79</f>
        <v>118114.8</v>
      </c>
      <c r="F80" s="152">
        <f t="shared" si="157"/>
        <v>183772.79999999999</v>
      </c>
      <c r="G80" s="152">
        <f t="shared" si="157"/>
        <v>277104.8</v>
      </c>
      <c r="H80" s="152">
        <f t="shared" si="157"/>
        <v>439812.19999999995</v>
      </c>
      <c r="I80" s="152">
        <f t="shared" si="157"/>
        <v>713945.39999999991</v>
      </c>
      <c r="J80" s="152">
        <f t="shared" si="157"/>
        <v>988627.99999999988</v>
      </c>
      <c r="K80" s="152">
        <f t="shared" si="157"/>
        <v>1179655.2999999998</v>
      </c>
      <c r="L80" s="152">
        <f t="shared" si="157"/>
        <v>1365436.9999999998</v>
      </c>
      <c r="M80" s="152">
        <f t="shared" si="157"/>
        <v>1472088.7999999998</v>
      </c>
      <c r="N80" s="152">
        <f t="shared" si="157"/>
        <v>1558049.6999999997</v>
      </c>
      <c r="O80" s="152">
        <f t="shared" si="157"/>
        <v>1620855.7999999998</v>
      </c>
      <c r="P80" s="59"/>
      <c r="S80" s="28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59"/>
      <c r="AI80" s="28"/>
      <c r="AJ80" s="279"/>
      <c r="AK80" s="279"/>
      <c r="AL80" s="279"/>
      <c r="AM80" s="279"/>
      <c r="AN80" s="279"/>
      <c r="AO80" s="279"/>
      <c r="AP80" s="279"/>
      <c r="AQ80" s="279"/>
      <c r="AR80" s="279"/>
      <c r="AS80" s="279"/>
      <c r="AT80" s="279"/>
      <c r="AU80" s="279"/>
      <c r="AV80" s="131"/>
    </row>
    <row r="81" spans="3:48" s="22" customFormat="1">
      <c r="C81" s="22" t="s">
        <v>517</v>
      </c>
      <c r="D81" s="152">
        <f>D79</f>
        <v>57280</v>
      </c>
      <c r="E81" s="152">
        <f>E79</f>
        <v>60834.8</v>
      </c>
      <c r="F81" s="152">
        <f>F79</f>
        <v>65658</v>
      </c>
      <c r="G81" s="27">
        <f t="shared" ref="G81:M81" si="158">AVERAGE($D$79:$F$79)+((G79-AVERAGE($D$79:$F$79))*G2/G3)</f>
        <v>100081.83417721519</v>
      </c>
      <c r="H81" s="27">
        <f t="shared" si="158"/>
        <v>152952.61153846153</v>
      </c>
      <c r="I81" s="327">
        <f t="shared" si="158"/>
        <v>199932.0943442623</v>
      </c>
      <c r="J81" s="327">
        <f t="shared" si="158"/>
        <v>229380.76480891719</v>
      </c>
      <c r="K81" s="327">
        <f t="shared" si="158"/>
        <v>200371.18269230769</v>
      </c>
      <c r="L81" s="327">
        <f t="shared" si="158"/>
        <v>173030.43216</v>
      </c>
      <c r="M81" s="327">
        <f t="shared" si="158"/>
        <v>118908.234</v>
      </c>
      <c r="N81" s="152">
        <f>N79</f>
        <v>85960.9</v>
      </c>
      <c r="O81" s="152">
        <f>O79</f>
        <v>62806.1</v>
      </c>
      <c r="P81" s="59">
        <f>SUM(D81:O81)</f>
        <v>1507196.9537211638</v>
      </c>
      <c r="S81" s="28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59"/>
      <c r="AI81" s="28"/>
      <c r="AJ81" s="279"/>
      <c r="AK81" s="279"/>
      <c r="AL81" s="279"/>
      <c r="AM81" s="279"/>
      <c r="AN81" s="279"/>
      <c r="AO81" s="279"/>
      <c r="AP81" s="279"/>
      <c r="AQ81" s="279"/>
      <c r="AR81" s="279"/>
      <c r="AS81" s="279"/>
      <c r="AT81" s="279"/>
      <c r="AU81" s="279"/>
      <c r="AV81" s="131"/>
    </row>
    <row r="82" spans="3:48" s="22" customFormat="1">
      <c r="C82" s="22" t="s">
        <v>668</v>
      </c>
      <c r="D82" s="152">
        <f>D81</f>
        <v>57280</v>
      </c>
      <c r="E82" s="152">
        <f t="shared" ref="E82:O82" si="159">D82+E81</f>
        <v>118114.8</v>
      </c>
      <c r="F82" s="152">
        <f t="shared" si="159"/>
        <v>183772.79999999999</v>
      </c>
      <c r="G82" s="152">
        <f t="shared" si="159"/>
        <v>283854.63417721516</v>
      </c>
      <c r="H82" s="152">
        <f t="shared" si="159"/>
        <v>436807.24571567669</v>
      </c>
      <c r="I82" s="152">
        <f t="shared" si="159"/>
        <v>636739.34005993896</v>
      </c>
      <c r="J82" s="152">
        <f t="shared" si="159"/>
        <v>866120.10486885614</v>
      </c>
      <c r="K82" s="152">
        <f t="shared" si="159"/>
        <v>1066491.2875611638</v>
      </c>
      <c r="L82" s="152">
        <f t="shared" si="159"/>
        <v>1239521.7197211639</v>
      </c>
      <c r="M82" s="152">
        <f t="shared" si="159"/>
        <v>1358429.9537211638</v>
      </c>
      <c r="N82" s="152">
        <f t="shared" si="159"/>
        <v>1444390.8537211637</v>
      </c>
      <c r="O82" s="152">
        <f t="shared" si="159"/>
        <v>1507196.9537211638</v>
      </c>
      <c r="P82" s="59"/>
      <c r="S82" s="28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59"/>
      <c r="AI82" s="28"/>
      <c r="AJ82" s="279"/>
      <c r="AK82" s="279"/>
      <c r="AL82" s="279"/>
      <c r="AM82" s="279"/>
      <c r="AN82" s="279"/>
      <c r="AO82" s="279"/>
      <c r="AP82" s="279"/>
      <c r="AQ82" s="279"/>
      <c r="AR82" s="279"/>
      <c r="AS82" s="279"/>
      <c r="AT82" s="279"/>
      <c r="AU82" s="279"/>
      <c r="AV82" s="131"/>
    </row>
    <row r="83" spans="3:48" s="22" customFormat="1" ht="21">
      <c r="C83" s="22" t="s">
        <v>504</v>
      </c>
      <c r="D83" s="132">
        <v>2573</v>
      </c>
      <c r="E83" s="132">
        <v>4123.7</v>
      </c>
      <c r="F83" s="132">
        <v>2906</v>
      </c>
      <c r="G83" s="132">
        <v>10171</v>
      </c>
      <c r="H83" s="132">
        <v>29356.799999999999</v>
      </c>
      <c r="I83" s="153">
        <v>62477.4</v>
      </c>
      <c r="J83" s="153">
        <v>66906.100000000006</v>
      </c>
      <c r="K83" s="153">
        <v>45267.6</v>
      </c>
      <c r="L83" s="435">
        <v>32628.7</v>
      </c>
      <c r="M83" s="434">
        <v>17344</v>
      </c>
      <c r="N83" s="434">
        <v>6402.7</v>
      </c>
      <c r="O83" s="434">
        <v>4158.8999999999996</v>
      </c>
      <c r="P83" s="59">
        <f>SUM(D83:O83)</f>
        <v>284315.90000000008</v>
      </c>
      <c r="S83" s="28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59"/>
      <c r="AI83" s="28"/>
      <c r="AJ83" s="279"/>
      <c r="AK83" s="279"/>
      <c r="AL83" s="279"/>
      <c r="AM83" s="279"/>
      <c r="AN83" s="279"/>
      <c r="AO83" s="279"/>
      <c r="AP83" s="279"/>
      <c r="AQ83" s="279"/>
      <c r="AR83" s="279"/>
      <c r="AS83" s="279"/>
      <c r="AT83" s="279"/>
      <c r="AU83" s="279"/>
      <c r="AV83" s="131"/>
    </row>
    <row r="84" spans="3:48" s="22" customFormat="1">
      <c r="C84" s="22" t="s">
        <v>655</v>
      </c>
      <c r="D84" s="152">
        <f>D83</f>
        <v>2573</v>
      </c>
      <c r="E84" s="152">
        <f t="shared" ref="E84:O84" si="160">D84+E83</f>
        <v>6696.7</v>
      </c>
      <c r="F84" s="152">
        <f t="shared" si="160"/>
        <v>9602.7000000000007</v>
      </c>
      <c r="G84" s="152">
        <f t="shared" si="160"/>
        <v>19773.7</v>
      </c>
      <c r="H84" s="152">
        <f t="shared" si="160"/>
        <v>49130.5</v>
      </c>
      <c r="I84" s="152">
        <f t="shared" si="160"/>
        <v>111607.9</v>
      </c>
      <c r="J84" s="152">
        <f t="shared" si="160"/>
        <v>178514</v>
      </c>
      <c r="K84" s="152">
        <f t="shared" si="160"/>
        <v>223781.6</v>
      </c>
      <c r="L84" s="152">
        <f t="shared" si="160"/>
        <v>256410.30000000002</v>
      </c>
      <c r="M84" s="152">
        <f t="shared" si="160"/>
        <v>273754.30000000005</v>
      </c>
      <c r="N84" s="152">
        <f t="shared" si="160"/>
        <v>280157.00000000006</v>
      </c>
      <c r="O84" s="152">
        <f t="shared" si="160"/>
        <v>284315.90000000008</v>
      </c>
      <c r="P84" s="59"/>
      <c r="S84" s="28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59"/>
      <c r="AI84" s="28"/>
      <c r="AJ84" s="279"/>
      <c r="AK84" s="279"/>
      <c r="AL84" s="279"/>
      <c r="AM84" s="279"/>
      <c r="AN84" s="279"/>
      <c r="AO84" s="279"/>
      <c r="AP84" s="279"/>
      <c r="AQ84" s="279"/>
      <c r="AR84" s="279"/>
      <c r="AS84" s="279"/>
      <c r="AT84" s="279"/>
      <c r="AU84" s="279"/>
      <c r="AV84" s="131"/>
    </row>
    <row r="85" spans="3:48" s="22" customFormat="1">
      <c r="C85" s="22" t="s">
        <v>516</v>
      </c>
      <c r="D85" s="152">
        <f>D83</f>
        <v>2573</v>
      </c>
      <c r="E85" s="152">
        <f>E83</f>
        <v>4123.7</v>
      </c>
      <c r="F85" s="152">
        <f>F83</f>
        <v>2906</v>
      </c>
      <c r="G85" s="27">
        <f t="shared" ref="G85:M85" si="161">AVERAGE($D$83:$F$83)+((G83-AVERAGE($D$83:$F$83))*G2/G3)</f>
        <v>11637.809018987342</v>
      </c>
      <c r="H85" s="27">
        <f t="shared" si="161"/>
        <v>26841.809615384613</v>
      </c>
      <c r="I85" s="327">
        <f t="shared" si="161"/>
        <v>41815.652766393439</v>
      </c>
      <c r="J85" s="327">
        <f t="shared" si="161"/>
        <v>53383.96121019109</v>
      </c>
      <c r="K85" s="327">
        <f t="shared" si="161"/>
        <v>48296.552906976744</v>
      </c>
      <c r="L85" s="327">
        <f t="shared" si="161"/>
        <v>29615.293280000002</v>
      </c>
      <c r="M85" s="327">
        <f t="shared" si="161"/>
        <v>21162.637000000002</v>
      </c>
      <c r="N85" s="152">
        <f>N83</f>
        <v>6402.7</v>
      </c>
      <c r="O85" s="152">
        <f>O83</f>
        <v>4158.8999999999996</v>
      </c>
      <c r="P85" s="59">
        <f>SUM(D85:O85)</f>
        <v>252918.01579793324</v>
      </c>
      <c r="S85" s="28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59"/>
      <c r="AI85" s="28"/>
      <c r="AJ85" s="279"/>
      <c r="AK85" s="279"/>
      <c r="AL85" s="279"/>
      <c r="AM85" s="279"/>
      <c r="AN85" s="279"/>
      <c r="AO85" s="279"/>
      <c r="AP85" s="279"/>
      <c r="AQ85" s="279"/>
      <c r="AR85" s="279"/>
      <c r="AS85" s="279"/>
      <c r="AT85" s="279"/>
      <c r="AU85" s="279"/>
      <c r="AV85" s="131"/>
    </row>
    <row r="86" spans="3:48" s="22" customFormat="1">
      <c r="C86" s="22" t="s">
        <v>669</v>
      </c>
      <c r="D86" s="152">
        <f>D85</f>
        <v>2573</v>
      </c>
      <c r="E86" s="152">
        <f t="shared" ref="E86:O86" si="162">D86+E85</f>
        <v>6696.7</v>
      </c>
      <c r="F86" s="152">
        <f t="shared" si="162"/>
        <v>9602.7000000000007</v>
      </c>
      <c r="G86" s="152">
        <f t="shared" si="162"/>
        <v>21240.509018987344</v>
      </c>
      <c r="H86" s="152">
        <f t="shared" si="162"/>
        <v>48082.318634371957</v>
      </c>
      <c r="I86" s="152">
        <f t="shared" si="162"/>
        <v>89897.971400765397</v>
      </c>
      <c r="J86" s="152">
        <f t="shared" si="162"/>
        <v>143281.93261095649</v>
      </c>
      <c r="K86" s="152">
        <f t="shared" si="162"/>
        <v>191578.48551793324</v>
      </c>
      <c r="L86" s="152">
        <f t="shared" si="162"/>
        <v>221193.77879793325</v>
      </c>
      <c r="M86" s="152">
        <f t="shared" si="162"/>
        <v>242356.41579793324</v>
      </c>
      <c r="N86" s="152">
        <f t="shared" si="162"/>
        <v>248759.11579793325</v>
      </c>
      <c r="O86" s="152">
        <f t="shared" si="162"/>
        <v>252918.01579793324</v>
      </c>
      <c r="P86" s="59"/>
      <c r="S86" s="28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59"/>
      <c r="AI86" s="28"/>
      <c r="AJ86" s="279"/>
      <c r="AK86" s="279"/>
      <c r="AL86" s="279"/>
      <c r="AM86" s="279"/>
      <c r="AN86" s="279"/>
      <c r="AO86" s="279"/>
      <c r="AP86" s="279"/>
      <c r="AQ86" s="279"/>
      <c r="AR86" s="279"/>
      <c r="AS86" s="279"/>
      <c r="AT86" s="279"/>
      <c r="AU86" s="279"/>
      <c r="AV86" s="131"/>
    </row>
    <row r="87" spans="3:48" s="22" customFormat="1">
      <c r="C87" s="27" t="s">
        <v>409</v>
      </c>
      <c r="D87" s="152">
        <f t="shared" ref="D87:I87" si="163">SUM(D71,D75,D79,D83)</f>
        <v>238580.8</v>
      </c>
      <c r="E87" s="152">
        <f t="shared" si="163"/>
        <v>254773.5</v>
      </c>
      <c r="F87" s="152">
        <f t="shared" si="163"/>
        <v>279880</v>
      </c>
      <c r="G87" s="152">
        <f t="shared" si="163"/>
        <v>504923</v>
      </c>
      <c r="H87" s="152">
        <f t="shared" si="163"/>
        <v>1182529.3</v>
      </c>
      <c r="I87" s="152">
        <f t="shared" si="163"/>
        <v>2571218.2000000002</v>
      </c>
      <c r="J87" s="152">
        <f t="shared" ref="J87:O87" si="164">SUM(J71,J75,J79,J83)</f>
        <v>2556244</v>
      </c>
      <c r="K87" s="152">
        <f t="shared" si="164"/>
        <v>1644464.4000000001</v>
      </c>
      <c r="L87" s="152">
        <f t="shared" si="164"/>
        <v>1338733.7999999998</v>
      </c>
      <c r="M87" s="152">
        <f t="shared" si="164"/>
        <v>635148.20000000007</v>
      </c>
      <c r="N87" s="152">
        <f t="shared" si="164"/>
        <v>360199.8</v>
      </c>
      <c r="O87" s="152">
        <f t="shared" si="164"/>
        <v>278060.90000000002</v>
      </c>
      <c r="P87" s="59">
        <f>SUM(D87:O87)</f>
        <v>11844755.9</v>
      </c>
      <c r="S87" s="28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59"/>
      <c r="AI87" s="28"/>
      <c r="AJ87" s="279"/>
      <c r="AK87" s="279"/>
      <c r="AL87" s="279"/>
      <c r="AM87" s="279"/>
      <c r="AN87" s="279"/>
      <c r="AO87" s="279"/>
      <c r="AP87" s="279"/>
      <c r="AQ87" s="279"/>
      <c r="AR87" s="279"/>
      <c r="AS87" s="279"/>
      <c r="AT87" s="279"/>
      <c r="AU87" s="279"/>
      <c r="AV87" s="131"/>
    </row>
    <row r="88" spans="3:48" s="22" customFormat="1">
      <c r="C88" s="27" t="s">
        <v>670</v>
      </c>
      <c r="D88" s="152">
        <f>D87</f>
        <v>238580.8</v>
      </c>
      <c r="E88" s="152">
        <f t="shared" ref="E88:O88" si="165">D88+E87</f>
        <v>493354.3</v>
      </c>
      <c r="F88" s="152">
        <f t="shared" si="165"/>
        <v>773234.3</v>
      </c>
      <c r="G88" s="152">
        <f t="shared" si="165"/>
        <v>1278157.3</v>
      </c>
      <c r="H88" s="152">
        <f t="shared" si="165"/>
        <v>2460686.6</v>
      </c>
      <c r="I88" s="152">
        <f t="shared" si="165"/>
        <v>5031904.8000000007</v>
      </c>
      <c r="J88" s="152">
        <f t="shared" si="165"/>
        <v>7588148.8000000007</v>
      </c>
      <c r="K88" s="152">
        <f t="shared" si="165"/>
        <v>9232613.2000000011</v>
      </c>
      <c r="L88" s="152">
        <f t="shared" si="165"/>
        <v>10571347</v>
      </c>
      <c r="M88" s="152">
        <f t="shared" si="165"/>
        <v>11206495.199999999</v>
      </c>
      <c r="N88" s="152">
        <f t="shared" si="165"/>
        <v>11566695</v>
      </c>
      <c r="O88" s="152">
        <f t="shared" si="165"/>
        <v>11844755.9</v>
      </c>
      <c r="P88" s="59"/>
      <c r="S88" s="28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59"/>
      <c r="AI88" s="28"/>
      <c r="AJ88" s="279"/>
      <c r="AK88" s="279"/>
      <c r="AL88" s="279"/>
      <c r="AM88" s="279"/>
      <c r="AN88" s="279"/>
      <c r="AO88" s="279"/>
      <c r="AP88" s="279"/>
      <c r="AQ88" s="279"/>
      <c r="AR88" s="279"/>
      <c r="AS88" s="279"/>
      <c r="AT88" s="279"/>
      <c r="AU88" s="279"/>
      <c r="AV88" s="131"/>
    </row>
    <row r="89" spans="3:48" s="22" customFormat="1">
      <c r="C89" s="27" t="s">
        <v>419</v>
      </c>
      <c r="D89" s="152">
        <f t="shared" ref="D89:I89" si="166">SUM(D73,D77,D81,D85)</f>
        <v>238580.8</v>
      </c>
      <c r="E89" s="152">
        <f t="shared" si="166"/>
        <v>254773.5</v>
      </c>
      <c r="F89" s="152">
        <f t="shared" si="166"/>
        <v>279880</v>
      </c>
      <c r="G89" s="152">
        <f t="shared" si="166"/>
        <v>556939.93834388186</v>
      </c>
      <c r="H89" s="152">
        <f t="shared" si="166"/>
        <v>1093607.7102564101</v>
      </c>
      <c r="I89" s="152">
        <f t="shared" si="166"/>
        <v>1764821.0053073771</v>
      </c>
      <c r="J89" s="152">
        <f t="shared" ref="J89:O89" si="167">SUM(J73,J77,J81,J85)</f>
        <v>2068361.9175106157</v>
      </c>
      <c r="K89" s="152">
        <f t="shared" si="167"/>
        <v>1744313.1750298152</v>
      </c>
      <c r="L89" s="152">
        <f t="shared" si="167"/>
        <v>1228040.5229866668</v>
      </c>
      <c r="M89" s="152">
        <f t="shared" si="167"/>
        <v>737047.12699999998</v>
      </c>
      <c r="N89" s="152">
        <f t="shared" si="167"/>
        <v>360199.8</v>
      </c>
      <c r="O89" s="152">
        <f t="shared" si="167"/>
        <v>278060.90000000002</v>
      </c>
      <c r="P89" s="59">
        <f>SUM(D89:O89)</f>
        <v>10604626.396434769</v>
      </c>
      <c r="S89" s="28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59"/>
      <c r="AI89" s="28"/>
      <c r="AJ89" s="279"/>
      <c r="AK89" s="279"/>
      <c r="AL89" s="279"/>
      <c r="AM89" s="279"/>
      <c r="AN89" s="279"/>
      <c r="AO89" s="279"/>
      <c r="AP89" s="279"/>
      <c r="AQ89" s="279"/>
      <c r="AR89" s="279"/>
      <c r="AS89" s="279"/>
      <c r="AT89" s="279"/>
      <c r="AU89" s="279"/>
      <c r="AV89" s="131"/>
    </row>
    <row r="90" spans="3:48" s="22" customFormat="1">
      <c r="C90" s="27" t="s">
        <v>671</v>
      </c>
      <c r="D90" s="152">
        <f>D89</f>
        <v>238580.8</v>
      </c>
      <c r="E90" s="152">
        <f t="shared" ref="E90:O90" si="168">D90+E89</f>
        <v>493354.3</v>
      </c>
      <c r="F90" s="152">
        <f t="shared" si="168"/>
        <v>773234.3</v>
      </c>
      <c r="G90" s="152">
        <f t="shared" si="168"/>
        <v>1330174.2383438819</v>
      </c>
      <c r="H90" s="152">
        <f t="shared" si="168"/>
        <v>2423781.9486002922</v>
      </c>
      <c r="I90" s="152">
        <f t="shared" si="168"/>
        <v>4188602.9539076695</v>
      </c>
      <c r="J90" s="152">
        <f t="shared" si="168"/>
        <v>6256964.8714182852</v>
      </c>
      <c r="K90" s="152">
        <f t="shared" si="168"/>
        <v>8001278.0464481004</v>
      </c>
      <c r="L90" s="152">
        <f t="shared" si="168"/>
        <v>9229318.5694347676</v>
      </c>
      <c r="M90" s="152">
        <f t="shared" si="168"/>
        <v>9966365.6964347679</v>
      </c>
      <c r="N90" s="152">
        <f t="shared" si="168"/>
        <v>10326565.496434769</v>
      </c>
      <c r="O90" s="152">
        <f t="shared" si="168"/>
        <v>10604626.396434769</v>
      </c>
      <c r="P90" s="59"/>
      <c r="S90" s="28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59"/>
      <c r="AI90" s="28"/>
      <c r="AJ90" s="279"/>
      <c r="AK90" s="279"/>
      <c r="AL90" s="279"/>
      <c r="AM90" s="279"/>
      <c r="AN90" s="279"/>
      <c r="AO90" s="279"/>
      <c r="AP90" s="279"/>
      <c r="AQ90" s="279"/>
      <c r="AR90" s="279"/>
      <c r="AS90" s="279"/>
      <c r="AT90" s="279"/>
      <c r="AU90" s="279"/>
      <c r="AV90" s="131"/>
    </row>
    <row r="91" spans="3:48" s="22" customFormat="1">
      <c r="C91" s="22" t="s">
        <v>568</v>
      </c>
      <c r="D91" s="153">
        <v>20837</v>
      </c>
      <c r="E91" s="153">
        <v>25239.3</v>
      </c>
      <c r="F91" s="132">
        <v>24664</v>
      </c>
      <c r="G91" s="132">
        <v>18544</v>
      </c>
      <c r="H91" s="132">
        <v>17268</v>
      </c>
      <c r="I91" s="153">
        <v>36204.5</v>
      </c>
      <c r="J91" s="153">
        <v>33109.599999999999</v>
      </c>
      <c r="K91" s="153">
        <v>25564.6</v>
      </c>
      <c r="L91" s="434">
        <v>21974.6</v>
      </c>
      <c r="M91" s="434">
        <v>13260.7</v>
      </c>
      <c r="N91" s="434">
        <v>15609.8</v>
      </c>
      <c r="O91" s="434">
        <v>15391.6</v>
      </c>
      <c r="P91" s="59">
        <f>SUM(D91:O91)</f>
        <v>267667.7</v>
      </c>
      <c r="S91" s="28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59"/>
      <c r="AI91" s="28"/>
      <c r="AJ91" s="279"/>
      <c r="AK91" s="279"/>
      <c r="AL91" s="279"/>
      <c r="AM91" s="279"/>
      <c r="AN91" s="279"/>
      <c r="AO91" s="279"/>
      <c r="AP91" s="279"/>
      <c r="AQ91" s="279"/>
      <c r="AR91" s="279"/>
      <c r="AS91" s="279"/>
      <c r="AT91" s="279"/>
      <c r="AU91" s="279"/>
      <c r="AV91" s="131"/>
    </row>
    <row r="92" spans="3:48" s="22" customFormat="1">
      <c r="C92" s="22" t="s">
        <v>672</v>
      </c>
      <c r="D92" s="152">
        <f>D91</f>
        <v>20837</v>
      </c>
      <c r="E92" s="152">
        <f t="shared" ref="E92:O92" si="169">D92+E91</f>
        <v>46076.3</v>
      </c>
      <c r="F92" s="152">
        <f t="shared" si="169"/>
        <v>70740.3</v>
      </c>
      <c r="G92" s="152">
        <f t="shared" si="169"/>
        <v>89284.3</v>
      </c>
      <c r="H92" s="152">
        <f t="shared" si="169"/>
        <v>106552.3</v>
      </c>
      <c r="I92" s="152">
        <f t="shared" si="169"/>
        <v>142756.79999999999</v>
      </c>
      <c r="J92" s="152">
        <f t="shared" si="169"/>
        <v>175866.4</v>
      </c>
      <c r="K92" s="152">
        <f t="shared" si="169"/>
        <v>201431</v>
      </c>
      <c r="L92" s="152">
        <f t="shared" si="169"/>
        <v>223405.6</v>
      </c>
      <c r="M92" s="152">
        <f t="shared" si="169"/>
        <v>236666.30000000002</v>
      </c>
      <c r="N92" s="152">
        <f t="shared" si="169"/>
        <v>252276.1</v>
      </c>
      <c r="O92" s="152">
        <f t="shared" si="169"/>
        <v>267667.7</v>
      </c>
      <c r="P92" s="59"/>
      <c r="S92" s="28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59"/>
      <c r="AI92" s="28"/>
      <c r="AJ92" s="279"/>
      <c r="AK92" s="279"/>
      <c r="AL92" s="279"/>
      <c r="AM92" s="279"/>
      <c r="AN92" s="279"/>
      <c r="AO92" s="279"/>
      <c r="AP92" s="279"/>
      <c r="AQ92" s="279"/>
      <c r="AR92" s="279"/>
      <c r="AS92" s="279"/>
      <c r="AT92" s="279"/>
      <c r="AU92" s="279"/>
      <c r="AV92" s="131"/>
    </row>
    <row r="93" spans="3:48" s="22" customFormat="1">
      <c r="C93" s="22" t="s">
        <v>569</v>
      </c>
      <c r="D93" s="152">
        <f>D91</f>
        <v>20837</v>
      </c>
      <c r="E93" s="152">
        <f>E91</f>
        <v>25239.3</v>
      </c>
      <c r="F93" s="152">
        <f>F91</f>
        <v>24664</v>
      </c>
      <c r="G93" s="27">
        <f t="shared" ref="G93:M93" si="170">AVERAGE($D$91:$F$91)+((G91-AVERAGE($D$91:$F$91))*G2/G3)</f>
        <v>17484.187816455695</v>
      </c>
      <c r="H93" s="27">
        <f t="shared" si="170"/>
        <v>17874.932692307695</v>
      </c>
      <c r="I93" s="327">
        <f t="shared" si="170"/>
        <v>31804.068770491802</v>
      </c>
      <c r="J93" s="327">
        <f t="shared" si="170"/>
        <v>31086.857404458598</v>
      </c>
      <c r="K93" s="327">
        <f t="shared" si="170"/>
        <v>25707.49110017889</v>
      </c>
      <c r="L93" s="327">
        <f t="shared" si="170"/>
        <v>22139.003199999999</v>
      </c>
      <c r="M93" s="327">
        <f t="shared" si="170"/>
        <v>10474.462</v>
      </c>
      <c r="N93" s="152">
        <f>N91</f>
        <v>15609.8</v>
      </c>
      <c r="O93" s="152">
        <f>O91</f>
        <v>15391.6</v>
      </c>
      <c r="P93" s="59">
        <f>SUM(D93:O93)</f>
        <v>258312.7029838927</v>
      </c>
      <c r="S93" s="28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59"/>
      <c r="AI93" s="28"/>
      <c r="AJ93" s="279"/>
      <c r="AK93" s="279"/>
      <c r="AL93" s="279"/>
      <c r="AM93" s="279"/>
      <c r="AN93" s="279"/>
      <c r="AO93" s="279"/>
      <c r="AP93" s="279"/>
      <c r="AQ93" s="279"/>
      <c r="AR93" s="279"/>
      <c r="AS93" s="279"/>
      <c r="AT93" s="279"/>
      <c r="AU93" s="279"/>
      <c r="AV93" s="131"/>
    </row>
    <row r="94" spans="3:48" s="22" customFormat="1">
      <c r="C94" s="22" t="s">
        <v>673</v>
      </c>
      <c r="D94" s="152">
        <f>D93</f>
        <v>20837</v>
      </c>
      <c r="E94" s="152">
        <f t="shared" ref="E94:O94" si="171">D94+E93</f>
        <v>46076.3</v>
      </c>
      <c r="F94" s="152">
        <f t="shared" si="171"/>
        <v>70740.3</v>
      </c>
      <c r="G94" s="152">
        <f t="shared" si="171"/>
        <v>88224.487816455701</v>
      </c>
      <c r="H94" s="152">
        <f t="shared" si="171"/>
        <v>106099.4205087634</v>
      </c>
      <c r="I94" s="152">
        <f t="shared" si="171"/>
        <v>137903.48927925521</v>
      </c>
      <c r="J94" s="152">
        <f t="shared" si="171"/>
        <v>168990.34668371381</v>
      </c>
      <c r="K94" s="152">
        <f t="shared" si="171"/>
        <v>194697.8377838927</v>
      </c>
      <c r="L94" s="152">
        <f t="shared" si="171"/>
        <v>216836.8409838927</v>
      </c>
      <c r="M94" s="152">
        <f t="shared" si="171"/>
        <v>227311.3029838927</v>
      </c>
      <c r="N94" s="152">
        <f t="shared" si="171"/>
        <v>242921.10298389269</v>
      </c>
      <c r="O94" s="152">
        <f t="shared" si="171"/>
        <v>258312.7029838927</v>
      </c>
      <c r="P94" s="59"/>
      <c r="S94" s="28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59"/>
      <c r="AI94" s="28"/>
      <c r="AJ94" s="279"/>
      <c r="AK94" s="279"/>
      <c r="AL94" s="279"/>
      <c r="AM94" s="279"/>
      <c r="AN94" s="279"/>
      <c r="AO94" s="279"/>
      <c r="AP94" s="279"/>
      <c r="AQ94" s="279"/>
      <c r="AR94" s="279"/>
      <c r="AS94" s="279"/>
      <c r="AT94" s="279"/>
      <c r="AU94" s="279"/>
      <c r="AV94" s="131"/>
    </row>
    <row r="95" spans="3:48" s="22" customFormat="1">
      <c r="C95" s="22" t="s">
        <v>417</v>
      </c>
      <c r="D95" s="153">
        <v>200499</v>
      </c>
      <c r="E95" s="153">
        <v>203707</v>
      </c>
      <c r="F95" s="132">
        <v>223220</v>
      </c>
      <c r="G95" s="132">
        <v>254221</v>
      </c>
      <c r="H95" s="132">
        <v>311905.8</v>
      </c>
      <c r="I95" s="153">
        <v>383332.1</v>
      </c>
      <c r="J95" s="153">
        <v>411637.4</v>
      </c>
      <c r="K95" s="153">
        <v>326869.7</v>
      </c>
      <c r="L95" s="434">
        <v>297116.59999999998</v>
      </c>
      <c r="M95" s="434">
        <v>315843.3</v>
      </c>
      <c r="N95" s="434">
        <v>225450.8</v>
      </c>
      <c r="O95" s="434">
        <v>205799.4</v>
      </c>
      <c r="P95" s="59">
        <f>SUM(D95:O95)</f>
        <v>3359602.0999999996</v>
      </c>
      <c r="S95" s="28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59"/>
      <c r="AI95" s="28"/>
      <c r="AJ95" s="279"/>
      <c r="AK95" s="279"/>
      <c r="AL95" s="279"/>
      <c r="AM95" s="279"/>
      <c r="AN95" s="279"/>
      <c r="AO95" s="279"/>
      <c r="AP95" s="279"/>
      <c r="AQ95" s="279"/>
      <c r="AR95" s="279"/>
      <c r="AS95" s="279"/>
      <c r="AT95" s="279"/>
      <c r="AU95" s="279"/>
      <c r="AV95" s="131"/>
    </row>
    <row r="96" spans="3:48" s="22" customFormat="1">
      <c r="C96" s="22" t="s">
        <v>674</v>
      </c>
      <c r="D96" s="152">
        <f>D95</f>
        <v>200499</v>
      </c>
      <c r="E96" s="152">
        <f t="shared" ref="E96:O96" si="172">D96+E95</f>
        <v>404206</v>
      </c>
      <c r="F96" s="152">
        <f t="shared" si="172"/>
        <v>627426</v>
      </c>
      <c r="G96" s="152">
        <f t="shared" si="172"/>
        <v>881647</v>
      </c>
      <c r="H96" s="152">
        <f t="shared" si="172"/>
        <v>1193552.8</v>
      </c>
      <c r="I96" s="152">
        <f t="shared" si="172"/>
        <v>1576884.9</v>
      </c>
      <c r="J96" s="152">
        <f t="shared" si="172"/>
        <v>1988522.2999999998</v>
      </c>
      <c r="K96" s="152">
        <f t="shared" si="172"/>
        <v>2315392</v>
      </c>
      <c r="L96" s="152">
        <f t="shared" si="172"/>
        <v>2612508.6</v>
      </c>
      <c r="M96" s="152">
        <f t="shared" si="172"/>
        <v>2928351.9</v>
      </c>
      <c r="N96" s="152">
        <f t="shared" si="172"/>
        <v>3153802.6999999997</v>
      </c>
      <c r="O96" s="152">
        <f t="shared" si="172"/>
        <v>3359602.0999999996</v>
      </c>
      <c r="P96" s="59"/>
      <c r="S96" s="28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59"/>
      <c r="AI96" s="28"/>
      <c r="AJ96" s="279"/>
      <c r="AK96" s="279"/>
      <c r="AL96" s="279"/>
      <c r="AM96" s="279"/>
      <c r="AN96" s="279"/>
      <c r="AO96" s="279"/>
      <c r="AP96" s="279"/>
      <c r="AQ96" s="279"/>
      <c r="AR96" s="279"/>
      <c r="AS96" s="279"/>
      <c r="AT96" s="279"/>
      <c r="AU96" s="279"/>
      <c r="AV96" s="131"/>
    </row>
    <row r="97" spans="3:48" s="22" customFormat="1">
      <c r="C97" s="22" t="s">
        <v>518</v>
      </c>
      <c r="D97" s="152">
        <f>D95</f>
        <v>200499</v>
      </c>
      <c r="E97" s="152">
        <f>E95</f>
        <v>203707</v>
      </c>
      <c r="F97" s="152">
        <f>F95</f>
        <v>223220</v>
      </c>
      <c r="G97" s="27">
        <f t="shared" ref="G97:M97" si="173">AVERAGE($D$95:$F$95)+((G95-AVERAGE($D$95:$F$95))*G2/G3)</f>
        <v>263707.56170886074</v>
      </c>
      <c r="H97" s="27">
        <f t="shared" si="173"/>
        <v>302024.66538461536</v>
      </c>
      <c r="I97" s="327">
        <f t="shared" si="173"/>
        <v>322615.42784836062</v>
      </c>
      <c r="J97" s="327">
        <f t="shared" si="173"/>
        <v>368655.4942356688</v>
      </c>
      <c r="K97" s="327">
        <f t="shared" si="173"/>
        <v>335346.51560822898</v>
      </c>
      <c r="L97" s="327">
        <f t="shared" si="173"/>
        <v>288108.00095999998</v>
      </c>
      <c r="M97" s="327">
        <f t="shared" si="173"/>
        <v>344652.65099999995</v>
      </c>
      <c r="N97" s="152">
        <f>N95</f>
        <v>225450.8</v>
      </c>
      <c r="O97" s="152">
        <f>O95</f>
        <v>205799.4</v>
      </c>
      <c r="P97" s="59">
        <f>SUM(D97:O97)</f>
        <v>3283786.516745734</v>
      </c>
      <c r="S97" s="28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59"/>
      <c r="AI97" s="28"/>
      <c r="AJ97" s="279"/>
      <c r="AK97" s="279"/>
      <c r="AL97" s="279"/>
      <c r="AM97" s="279"/>
      <c r="AN97" s="279"/>
      <c r="AO97" s="279"/>
      <c r="AP97" s="279"/>
      <c r="AQ97" s="279"/>
      <c r="AR97" s="279"/>
      <c r="AS97" s="279"/>
      <c r="AT97" s="279"/>
      <c r="AU97" s="279"/>
      <c r="AV97" s="131"/>
    </row>
    <row r="98" spans="3:48" s="22" customFormat="1">
      <c r="C98" s="22" t="s">
        <v>675</v>
      </c>
      <c r="D98" s="152">
        <f>D97</f>
        <v>200499</v>
      </c>
      <c r="E98" s="152">
        <f t="shared" ref="E98:O98" si="174">D98+E97</f>
        <v>404206</v>
      </c>
      <c r="F98" s="152">
        <f t="shared" si="174"/>
        <v>627426</v>
      </c>
      <c r="G98" s="152">
        <f t="shared" si="174"/>
        <v>891133.5617088608</v>
      </c>
      <c r="H98" s="152">
        <f t="shared" si="174"/>
        <v>1193158.2270934761</v>
      </c>
      <c r="I98" s="152">
        <f t="shared" si="174"/>
        <v>1515773.6549418368</v>
      </c>
      <c r="J98" s="152">
        <f t="shared" si="174"/>
        <v>1884429.1491775056</v>
      </c>
      <c r="K98" s="152">
        <f t="shared" si="174"/>
        <v>2219775.6647857344</v>
      </c>
      <c r="L98" s="152">
        <f t="shared" si="174"/>
        <v>2507883.6657457342</v>
      </c>
      <c r="M98" s="152">
        <f t="shared" si="174"/>
        <v>2852536.3167457343</v>
      </c>
      <c r="N98" s="152">
        <f t="shared" si="174"/>
        <v>3077987.1167457341</v>
      </c>
      <c r="O98" s="152">
        <f t="shared" si="174"/>
        <v>3283786.516745734</v>
      </c>
      <c r="P98" s="59"/>
      <c r="S98" s="28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59"/>
      <c r="AI98" s="28"/>
      <c r="AJ98" s="279"/>
      <c r="AK98" s="279"/>
      <c r="AL98" s="279"/>
      <c r="AM98" s="279"/>
      <c r="AN98" s="279"/>
      <c r="AO98" s="279"/>
      <c r="AP98" s="279"/>
      <c r="AQ98" s="279"/>
      <c r="AR98" s="279"/>
      <c r="AS98" s="279"/>
      <c r="AT98" s="279"/>
      <c r="AU98" s="279"/>
      <c r="AV98" s="131"/>
    </row>
    <row r="99" spans="3:48" s="22" customFormat="1">
      <c r="C99" s="280" t="s">
        <v>519</v>
      </c>
      <c r="D99" s="152">
        <f t="shared" ref="D99:I99" si="175">SUM(D91,D95)</f>
        <v>221336</v>
      </c>
      <c r="E99" s="152">
        <f t="shared" si="175"/>
        <v>228946.3</v>
      </c>
      <c r="F99" s="152">
        <f t="shared" si="175"/>
        <v>247884</v>
      </c>
      <c r="G99" s="152">
        <f t="shared" si="175"/>
        <v>272765</v>
      </c>
      <c r="H99" s="152">
        <f t="shared" si="175"/>
        <v>329173.8</v>
      </c>
      <c r="I99" s="152">
        <f t="shared" si="175"/>
        <v>419536.6</v>
      </c>
      <c r="J99" s="152">
        <f t="shared" ref="J99:O99" si="176">SUM(J91,J95)</f>
        <v>444747</v>
      </c>
      <c r="K99" s="152">
        <f t="shared" si="176"/>
        <v>352434.3</v>
      </c>
      <c r="L99" s="152">
        <f t="shared" si="176"/>
        <v>319091.19999999995</v>
      </c>
      <c r="M99" s="152">
        <f t="shared" si="176"/>
        <v>329104</v>
      </c>
      <c r="N99" s="152">
        <f t="shared" si="176"/>
        <v>241060.59999999998</v>
      </c>
      <c r="O99" s="152">
        <f t="shared" si="176"/>
        <v>221191</v>
      </c>
      <c r="P99" s="59">
        <f>SUM(D99:O99)</f>
        <v>3627269.8000000003</v>
      </c>
      <c r="S99" s="24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59"/>
      <c r="AI99" s="24"/>
      <c r="AJ99" s="279"/>
      <c r="AK99" s="279"/>
      <c r="AL99" s="279"/>
      <c r="AM99" s="279"/>
      <c r="AN99" s="279"/>
      <c r="AO99" s="279"/>
      <c r="AP99" s="279"/>
      <c r="AQ99" s="279"/>
      <c r="AR99" s="279"/>
      <c r="AS99" s="279"/>
      <c r="AT99" s="279"/>
      <c r="AU99" s="279"/>
      <c r="AV99" s="131"/>
    </row>
    <row r="100" spans="3:48" s="22" customFormat="1">
      <c r="C100" s="280" t="s">
        <v>676</v>
      </c>
      <c r="D100" s="152">
        <f>D99</f>
        <v>221336</v>
      </c>
      <c r="E100" s="152">
        <f t="shared" ref="E100:O100" si="177">D100+E99</f>
        <v>450282.3</v>
      </c>
      <c r="F100" s="152">
        <f t="shared" si="177"/>
        <v>698166.3</v>
      </c>
      <c r="G100" s="152">
        <f t="shared" si="177"/>
        <v>970931.3</v>
      </c>
      <c r="H100" s="152">
        <f t="shared" si="177"/>
        <v>1300105.1000000001</v>
      </c>
      <c r="I100" s="152">
        <f t="shared" si="177"/>
        <v>1719641.7000000002</v>
      </c>
      <c r="J100" s="152">
        <f t="shared" si="177"/>
        <v>2164388.7000000002</v>
      </c>
      <c r="K100" s="152">
        <f t="shared" si="177"/>
        <v>2516823</v>
      </c>
      <c r="L100" s="152">
        <f t="shared" si="177"/>
        <v>2835914.2</v>
      </c>
      <c r="M100" s="152">
        <f t="shared" si="177"/>
        <v>3165018.2</v>
      </c>
      <c r="N100" s="152">
        <f t="shared" si="177"/>
        <v>3406078.8000000003</v>
      </c>
      <c r="O100" s="152">
        <f t="shared" si="177"/>
        <v>3627269.8000000003</v>
      </c>
      <c r="P100" s="59"/>
      <c r="S100" s="24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59"/>
      <c r="AI100" s="24"/>
      <c r="AJ100" s="279"/>
      <c r="AK100" s="279"/>
      <c r="AL100" s="279"/>
      <c r="AM100" s="279"/>
      <c r="AN100" s="279"/>
      <c r="AO100" s="279"/>
      <c r="AP100" s="279"/>
      <c r="AQ100" s="279"/>
      <c r="AR100" s="279"/>
      <c r="AS100" s="279"/>
      <c r="AT100" s="279"/>
      <c r="AU100" s="279"/>
      <c r="AV100" s="131"/>
    </row>
    <row r="101" spans="3:48" s="22" customFormat="1">
      <c r="C101" s="27" t="s">
        <v>520</v>
      </c>
      <c r="D101" s="152">
        <f t="shared" ref="D101:I101" si="178">SUM(D93,D97)</f>
        <v>221336</v>
      </c>
      <c r="E101" s="152">
        <f t="shared" si="178"/>
        <v>228946.3</v>
      </c>
      <c r="F101" s="152">
        <f t="shared" si="178"/>
        <v>247884</v>
      </c>
      <c r="G101" s="152">
        <f t="shared" si="178"/>
        <v>281191.74952531641</v>
      </c>
      <c r="H101" s="152">
        <f t="shared" si="178"/>
        <v>319899.59807692305</v>
      </c>
      <c r="I101" s="152">
        <f t="shared" si="178"/>
        <v>354419.49661885243</v>
      </c>
      <c r="J101" s="152">
        <f t="shared" ref="J101:O101" si="179">SUM(J93,J97)</f>
        <v>399742.35164012737</v>
      </c>
      <c r="K101" s="152">
        <f t="shared" si="179"/>
        <v>361054.00670840789</v>
      </c>
      <c r="L101" s="152">
        <f t="shared" si="179"/>
        <v>310247.00415999995</v>
      </c>
      <c r="M101" s="152">
        <f t="shared" si="179"/>
        <v>355127.11299999995</v>
      </c>
      <c r="N101" s="152">
        <f t="shared" si="179"/>
        <v>241060.59999999998</v>
      </c>
      <c r="O101" s="152">
        <f t="shared" si="179"/>
        <v>221191</v>
      </c>
      <c r="P101" s="59">
        <f>SUM(D101:O101)</f>
        <v>3542099.2197296275</v>
      </c>
      <c r="S101" s="28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59"/>
      <c r="AI101" s="28"/>
      <c r="AJ101" s="279"/>
      <c r="AK101" s="279"/>
      <c r="AL101" s="279"/>
      <c r="AM101" s="279"/>
      <c r="AN101" s="279"/>
      <c r="AO101" s="279"/>
      <c r="AP101" s="279"/>
      <c r="AQ101" s="279"/>
      <c r="AR101" s="279"/>
      <c r="AS101" s="279"/>
      <c r="AT101" s="279"/>
      <c r="AU101" s="279"/>
      <c r="AV101" s="131"/>
    </row>
    <row r="102" spans="3:48" s="22" customFormat="1">
      <c r="C102" s="27" t="s">
        <v>677</v>
      </c>
      <c r="D102" s="152">
        <f>D101</f>
        <v>221336</v>
      </c>
      <c r="E102" s="152">
        <f t="shared" ref="E102:O102" si="180">D102+E101</f>
        <v>450282.3</v>
      </c>
      <c r="F102" s="152">
        <f t="shared" si="180"/>
        <v>698166.3</v>
      </c>
      <c r="G102" s="152">
        <f t="shared" si="180"/>
        <v>979358.04952531646</v>
      </c>
      <c r="H102" s="152">
        <f t="shared" si="180"/>
        <v>1299257.6476022396</v>
      </c>
      <c r="I102" s="152">
        <f t="shared" si="180"/>
        <v>1653677.1442210921</v>
      </c>
      <c r="J102" s="152">
        <f t="shared" si="180"/>
        <v>2053419.4958612195</v>
      </c>
      <c r="K102" s="152">
        <f t="shared" si="180"/>
        <v>2414473.5025696275</v>
      </c>
      <c r="L102" s="152">
        <f t="shared" si="180"/>
        <v>2724720.5067296275</v>
      </c>
      <c r="M102" s="152">
        <f t="shared" si="180"/>
        <v>3079847.6197296274</v>
      </c>
      <c r="N102" s="152">
        <f t="shared" si="180"/>
        <v>3320908.2197296275</v>
      </c>
      <c r="O102" s="152">
        <f t="shared" si="180"/>
        <v>3542099.2197296275</v>
      </c>
      <c r="P102" s="59"/>
      <c r="S102" s="28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59"/>
      <c r="AI102" s="28"/>
      <c r="AJ102" s="279"/>
      <c r="AK102" s="279"/>
      <c r="AL102" s="279"/>
      <c r="AM102" s="279"/>
      <c r="AN102" s="279"/>
      <c r="AO102" s="279"/>
      <c r="AP102" s="279"/>
      <c r="AQ102" s="279"/>
      <c r="AR102" s="279"/>
      <c r="AS102" s="279"/>
      <c r="AT102" s="279"/>
      <c r="AU102" s="279"/>
      <c r="AV102" s="131"/>
    </row>
    <row r="103" spans="3:48" s="22" customFormat="1">
      <c r="C103" s="22" t="s">
        <v>591</v>
      </c>
      <c r="D103" s="152">
        <f t="shared" ref="D103:I103" si="181">SUM(D87,D99)</f>
        <v>459916.79999999999</v>
      </c>
      <c r="E103" s="152">
        <f t="shared" si="181"/>
        <v>483719.8</v>
      </c>
      <c r="F103" s="152">
        <f t="shared" si="181"/>
        <v>527764</v>
      </c>
      <c r="G103" s="152">
        <f t="shared" si="181"/>
        <v>777688</v>
      </c>
      <c r="H103" s="152">
        <f t="shared" si="181"/>
        <v>1511703.1</v>
      </c>
      <c r="I103" s="152">
        <f t="shared" si="181"/>
        <v>2990754.8000000003</v>
      </c>
      <c r="J103" s="152">
        <f t="shared" ref="J103:O103" si="182">SUM(J87,J99)</f>
        <v>3000991</v>
      </c>
      <c r="K103" s="152">
        <f t="shared" si="182"/>
        <v>1996898.7000000002</v>
      </c>
      <c r="L103" s="152">
        <f t="shared" si="182"/>
        <v>1657824.9999999998</v>
      </c>
      <c r="M103" s="152">
        <f t="shared" si="182"/>
        <v>964252.20000000007</v>
      </c>
      <c r="N103" s="152">
        <f t="shared" si="182"/>
        <v>601260.39999999991</v>
      </c>
      <c r="O103" s="152">
        <f t="shared" si="182"/>
        <v>499251.9</v>
      </c>
      <c r="P103" s="59">
        <f>SUM(D103:O103)</f>
        <v>15472025.699999999</v>
      </c>
      <c r="S103" s="28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59"/>
      <c r="AI103" s="28"/>
      <c r="AJ103" s="279"/>
      <c r="AK103" s="279"/>
      <c r="AL103" s="279"/>
      <c r="AM103" s="279"/>
      <c r="AN103" s="279"/>
      <c r="AO103" s="279"/>
      <c r="AP103" s="279"/>
      <c r="AQ103" s="279"/>
      <c r="AR103" s="279"/>
      <c r="AS103" s="279"/>
      <c r="AT103" s="279"/>
      <c r="AU103" s="279"/>
      <c r="AV103" s="131"/>
    </row>
    <row r="104" spans="3:48" s="22" customFormat="1">
      <c r="C104" s="22" t="s">
        <v>678</v>
      </c>
      <c r="D104" s="152">
        <f>D103</f>
        <v>459916.79999999999</v>
      </c>
      <c r="E104" s="152">
        <f t="shared" ref="E104:O104" si="183">D104+E103</f>
        <v>943636.6</v>
      </c>
      <c r="F104" s="152">
        <f t="shared" si="183"/>
        <v>1471400.6</v>
      </c>
      <c r="G104" s="152">
        <f t="shared" si="183"/>
        <v>2249088.6</v>
      </c>
      <c r="H104" s="152">
        <f t="shared" si="183"/>
        <v>3760791.7</v>
      </c>
      <c r="I104" s="152">
        <f t="shared" si="183"/>
        <v>6751546.5</v>
      </c>
      <c r="J104" s="152">
        <f t="shared" si="183"/>
        <v>9752537.5</v>
      </c>
      <c r="K104" s="152">
        <f t="shared" si="183"/>
        <v>11749436.199999999</v>
      </c>
      <c r="L104" s="152">
        <f t="shared" si="183"/>
        <v>13407261.199999999</v>
      </c>
      <c r="M104" s="152">
        <f t="shared" si="183"/>
        <v>14371513.399999999</v>
      </c>
      <c r="N104" s="152">
        <f t="shared" si="183"/>
        <v>14972773.799999999</v>
      </c>
      <c r="O104" s="152">
        <f t="shared" si="183"/>
        <v>15472025.699999999</v>
      </c>
      <c r="P104" s="59"/>
      <c r="S104" s="28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59"/>
      <c r="AI104" s="28"/>
      <c r="AJ104" s="279"/>
      <c r="AK104" s="279"/>
      <c r="AL104" s="279"/>
      <c r="AM104" s="279"/>
      <c r="AN104" s="279"/>
      <c r="AO104" s="279"/>
      <c r="AP104" s="279"/>
      <c r="AQ104" s="279"/>
      <c r="AR104" s="279"/>
      <c r="AS104" s="279"/>
      <c r="AT104" s="279"/>
      <c r="AU104" s="279"/>
      <c r="AV104" s="131"/>
    </row>
    <row r="105" spans="3:48" s="22" customFormat="1">
      <c r="C105" s="22" t="s">
        <v>543</v>
      </c>
      <c r="D105" s="152">
        <f t="shared" ref="D105:I105" si="184">SUM(D89,D101)</f>
        <v>459916.79999999999</v>
      </c>
      <c r="E105" s="152">
        <f t="shared" si="184"/>
        <v>483719.8</v>
      </c>
      <c r="F105" s="152">
        <f t="shared" si="184"/>
        <v>527764</v>
      </c>
      <c r="G105" s="152">
        <f t="shared" si="184"/>
        <v>838131.68786919827</v>
      </c>
      <c r="H105" s="152">
        <f t="shared" si="184"/>
        <v>1413507.3083333331</v>
      </c>
      <c r="I105" s="152">
        <f t="shared" si="184"/>
        <v>2119240.5019262293</v>
      </c>
      <c r="J105" s="152">
        <f t="shared" ref="J105:O105" si="185">SUM(J89,J101)</f>
        <v>2468104.2691507433</v>
      </c>
      <c r="K105" s="152">
        <f t="shared" si="185"/>
        <v>2105367.1817382229</v>
      </c>
      <c r="L105" s="152">
        <f t="shared" si="185"/>
        <v>1538287.5271466668</v>
      </c>
      <c r="M105" s="152">
        <f t="shared" si="185"/>
        <v>1092174.24</v>
      </c>
      <c r="N105" s="152">
        <f t="shared" si="185"/>
        <v>601260.39999999991</v>
      </c>
      <c r="O105" s="152">
        <f t="shared" si="185"/>
        <v>499251.9</v>
      </c>
      <c r="P105" s="59">
        <f>SUM(D105:O105)</f>
        <v>14146725.616164396</v>
      </c>
      <c r="S105" s="28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59"/>
      <c r="AI105" s="28"/>
      <c r="AJ105" s="279"/>
      <c r="AK105" s="279"/>
      <c r="AL105" s="279"/>
      <c r="AM105" s="279"/>
      <c r="AN105" s="279"/>
      <c r="AO105" s="279"/>
      <c r="AP105" s="279"/>
      <c r="AQ105" s="279"/>
      <c r="AR105" s="279"/>
      <c r="AS105" s="279"/>
      <c r="AT105" s="279"/>
      <c r="AU105" s="279"/>
      <c r="AV105" s="131"/>
    </row>
    <row r="106" spans="3:48" s="22" customFormat="1">
      <c r="C106" s="22" t="s">
        <v>715</v>
      </c>
      <c r="D106" s="152">
        <f>SUM(D90,D102)</f>
        <v>459916.79999999999</v>
      </c>
      <c r="E106" s="152">
        <f t="shared" ref="E106:O106" si="186">D106+E105</f>
        <v>943636.6</v>
      </c>
      <c r="F106" s="152">
        <f t="shared" si="186"/>
        <v>1471400.6</v>
      </c>
      <c r="G106" s="152">
        <f t="shared" si="186"/>
        <v>2309532.2878691982</v>
      </c>
      <c r="H106" s="152">
        <f t="shared" si="186"/>
        <v>3723039.5962025314</v>
      </c>
      <c r="I106" s="152">
        <f t="shared" si="186"/>
        <v>5842280.0981287602</v>
      </c>
      <c r="J106" s="152">
        <f t="shared" si="186"/>
        <v>8310384.3672795035</v>
      </c>
      <c r="K106" s="152">
        <f t="shared" si="186"/>
        <v>10415751.549017727</v>
      </c>
      <c r="L106" s="152">
        <f t="shared" si="186"/>
        <v>11954039.076164395</v>
      </c>
      <c r="M106" s="152">
        <f t="shared" si="186"/>
        <v>13046213.316164395</v>
      </c>
      <c r="N106" s="152">
        <f t="shared" si="186"/>
        <v>13647473.716164395</v>
      </c>
      <c r="O106" s="152">
        <f t="shared" si="186"/>
        <v>14146725.616164396</v>
      </c>
      <c r="P106" s="59"/>
      <c r="S106" s="28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59"/>
      <c r="AI106" s="28"/>
      <c r="AJ106" s="279"/>
      <c r="AK106" s="279"/>
      <c r="AL106" s="279"/>
      <c r="AM106" s="279"/>
      <c r="AN106" s="279"/>
      <c r="AO106" s="279"/>
      <c r="AP106" s="279"/>
      <c r="AQ106" s="279"/>
      <c r="AR106" s="279"/>
      <c r="AS106" s="279"/>
      <c r="AT106" s="279"/>
      <c r="AU106" s="279"/>
      <c r="AV106" s="131"/>
    </row>
    <row r="107" spans="3:48" s="22" customFormat="1">
      <c r="D107" s="152"/>
      <c r="E107" s="152"/>
      <c r="F107" s="152"/>
      <c r="G107" s="152"/>
      <c r="H107" s="162"/>
      <c r="I107" s="162"/>
      <c r="J107" s="162"/>
      <c r="K107" s="162"/>
      <c r="L107" s="162"/>
      <c r="M107" s="162"/>
      <c r="N107" s="162"/>
      <c r="O107" s="162"/>
      <c r="P107" s="59"/>
      <c r="S107" s="28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59"/>
      <c r="AI107" s="28"/>
      <c r="AJ107" s="279"/>
      <c r="AK107" s="279"/>
      <c r="AL107" s="279"/>
      <c r="AM107" s="279"/>
      <c r="AN107" s="279"/>
      <c r="AO107" s="279"/>
      <c r="AP107" s="279"/>
      <c r="AQ107" s="279"/>
      <c r="AR107" s="279"/>
      <c r="AS107" s="279"/>
      <c r="AT107" s="279"/>
      <c r="AU107" s="279"/>
      <c r="AV107" s="131"/>
    </row>
    <row r="108" spans="3:48">
      <c r="D108" s="22"/>
      <c r="E108" s="22"/>
      <c r="F108" s="22"/>
      <c r="G108" s="22"/>
      <c r="H108" s="22"/>
      <c r="I108" s="152"/>
      <c r="J108" s="152"/>
      <c r="K108" s="152"/>
      <c r="L108" s="152"/>
      <c r="M108" s="152"/>
      <c r="N108" s="22"/>
      <c r="O108" s="22"/>
      <c r="P108" s="151"/>
      <c r="S108" s="24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151"/>
      <c r="AI108" s="24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184"/>
    </row>
    <row r="109" spans="3:48">
      <c r="C109" s="11" t="s">
        <v>525</v>
      </c>
      <c r="D109" s="149">
        <v>40360</v>
      </c>
      <c r="E109" s="149">
        <v>40391</v>
      </c>
      <c r="F109" s="149">
        <v>40422</v>
      </c>
      <c r="G109" s="149">
        <v>40452</v>
      </c>
      <c r="H109" s="149">
        <v>40483</v>
      </c>
      <c r="I109" s="149">
        <v>40513</v>
      </c>
      <c r="J109" s="149">
        <v>40544</v>
      </c>
      <c r="K109" s="149">
        <v>40575</v>
      </c>
      <c r="L109" s="149">
        <v>40603</v>
      </c>
      <c r="M109" s="149">
        <v>40634</v>
      </c>
      <c r="N109" s="149">
        <v>40664</v>
      </c>
      <c r="O109" s="149">
        <v>40695</v>
      </c>
      <c r="P109" s="11" t="s">
        <v>758</v>
      </c>
      <c r="S109" s="13"/>
      <c r="T109" s="183"/>
      <c r="U109" s="183"/>
      <c r="V109" s="183"/>
      <c r="W109" s="183"/>
      <c r="X109" s="183"/>
      <c r="Y109" s="183"/>
      <c r="Z109" s="183"/>
      <c r="AA109" s="183"/>
      <c r="AB109" s="183"/>
      <c r="AC109" s="183"/>
      <c r="AD109" s="149"/>
      <c r="AE109" s="149"/>
      <c r="AF109" s="11"/>
      <c r="AI109" s="13"/>
      <c r="AJ109" s="183"/>
      <c r="AK109" s="183"/>
      <c r="AL109" s="183"/>
      <c r="AM109" s="183"/>
      <c r="AN109" s="183"/>
      <c r="AO109" s="183"/>
      <c r="AP109" s="183"/>
      <c r="AQ109" s="183"/>
      <c r="AR109" s="183"/>
      <c r="AS109" s="183"/>
      <c r="AT109" s="183"/>
      <c r="AU109" s="183"/>
      <c r="AV109" s="13"/>
    </row>
    <row r="110" spans="3:48">
      <c r="C110" s="108" t="s">
        <v>521</v>
      </c>
      <c r="D110" s="164">
        <f t="shared" ref="D110:I110" si="187">D71-D39</f>
        <v>-18514.263535427002</v>
      </c>
      <c r="E110" s="164">
        <f t="shared" si="187"/>
        <v>-15389.463535426999</v>
      </c>
      <c r="F110" s="164">
        <f t="shared" si="187"/>
        <v>-26954.975920891535</v>
      </c>
      <c r="G110" s="164">
        <f t="shared" si="187"/>
        <v>-137902.12791306869</v>
      </c>
      <c r="H110" s="164">
        <f t="shared" si="187"/>
        <v>4856.4408822406549</v>
      </c>
      <c r="I110" s="164">
        <f t="shared" si="187"/>
        <v>546907.06822245778</v>
      </c>
      <c r="J110" s="164">
        <f t="shared" ref="J110:O110" si="188">J71-J39</f>
        <v>338930.55467932322</v>
      </c>
      <c r="K110" s="164">
        <f t="shared" si="188"/>
        <v>-8865.9618991467869</v>
      </c>
      <c r="L110" s="164">
        <f t="shared" si="188"/>
        <v>-26465.199941626168</v>
      </c>
      <c r="M110" s="164">
        <f t="shared" si="188"/>
        <v>-113736.65331522335</v>
      </c>
      <c r="N110" s="164">
        <f t="shared" si="188"/>
        <v>-64708.384203032911</v>
      </c>
      <c r="O110" s="164">
        <f t="shared" si="188"/>
        <v>5054.0998044254811</v>
      </c>
      <c r="P110" s="11"/>
      <c r="S110" s="107"/>
      <c r="T110" s="183"/>
      <c r="U110" s="183"/>
      <c r="V110" s="183"/>
      <c r="W110" s="183"/>
      <c r="X110" s="183"/>
      <c r="Y110" s="183"/>
      <c r="Z110" s="183"/>
      <c r="AA110" s="183"/>
      <c r="AB110" s="183"/>
      <c r="AC110" s="183"/>
      <c r="AD110" s="149"/>
      <c r="AE110" s="149"/>
      <c r="AF110" s="11"/>
      <c r="AI110" s="107"/>
      <c r="AJ110" s="183"/>
      <c r="AK110" s="183"/>
      <c r="AL110" s="183"/>
      <c r="AM110" s="183"/>
      <c r="AN110" s="183"/>
      <c r="AO110" s="183"/>
      <c r="AP110" s="183"/>
      <c r="AQ110" s="183"/>
      <c r="AR110" s="183"/>
      <c r="AS110" s="183"/>
      <c r="AT110" s="183"/>
      <c r="AU110" s="183"/>
      <c r="AV110" s="13"/>
    </row>
    <row r="111" spans="3:48">
      <c r="C111" s="124" t="s">
        <v>522</v>
      </c>
      <c r="D111" s="165">
        <f t="shared" ref="D111:L111" si="189">D110/D39</f>
        <v>-0.15088291412583912</v>
      </c>
      <c r="E111" s="165">
        <f t="shared" si="189"/>
        <v>-0.12541720066884696</v>
      </c>
      <c r="F111" s="165">
        <f t="shared" si="189"/>
        <v>-0.17626620215027619</v>
      </c>
      <c r="G111" s="165">
        <f t="shared" si="189"/>
        <v>-0.33841832836374341</v>
      </c>
      <c r="H111" s="165">
        <f t="shared" si="189"/>
        <v>6.8052648577766215E-3</v>
      </c>
      <c r="I111" s="165">
        <f t="shared" si="189"/>
        <v>0.51138875083783841</v>
      </c>
      <c r="J111" s="165">
        <f t="shared" si="189"/>
        <v>0.27607673228838098</v>
      </c>
      <c r="K111" s="165">
        <f t="shared" si="189"/>
        <v>-8.8380825046244331E-3</v>
      </c>
      <c r="L111" s="165">
        <f t="shared" si="189"/>
        <v>-3.3457935157935985E-2</v>
      </c>
      <c r="M111" s="165">
        <f>M110/M39</f>
        <v>-0.25835302810796346</v>
      </c>
      <c r="N111" s="165">
        <f>N110/N39</f>
        <v>-0.28892484671406982</v>
      </c>
      <c r="O111" s="165">
        <f>O110/O39</f>
        <v>4.2561593056395251E-2</v>
      </c>
      <c r="P111" s="11"/>
      <c r="S111" s="128"/>
      <c r="T111" s="183"/>
      <c r="U111" s="183"/>
      <c r="V111" s="183"/>
      <c r="W111" s="183"/>
      <c r="X111" s="183"/>
      <c r="Y111" s="183"/>
      <c r="Z111" s="183"/>
      <c r="AA111" s="183"/>
      <c r="AB111" s="183"/>
      <c r="AC111" s="183"/>
      <c r="AD111" s="149"/>
      <c r="AE111" s="149"/>
      <c r="AF111" s="11"/>
      <c r="AI111" s="128"/>
      <c r="AJ111" s="183"/>
      <c r="AK111" s="183"/>
      <c r="AL111" s="183"/>
      <c r="AM111" s="183"/>
      <c r="AN111" s="183"/>
      <c r="AO111" s="183"/>
      <c r="AP111" s="183"/>
      <c r="AQ111" s="183"/>
      <c r="AR111" s="183"/>
      <c r="AS111" s="183"/>
      <c r="AT111" s="183"/>
      <c r="AU111" s="183"/>
      <c r="AV111" s="13"/>
    </row>
    <row r="112" spans="3:48">
      <c r="C112" s="108" t="s">
        <v>679</v>
      </c>
      <c r="D112" s="164">
        <f>D110</f>
        <v>-18514.263535427002</v>
      </c>
      <c r="E112" s="164">
        <f t="shared" ref="E112:J112" si="190">D112+E110</f>
        <v>-33903.727070854002</v>
      </c>
      <c r="F112" s="164">
        <f t="shared" si="190"/>
        <v>-60858.702991745537</v>
      </c>
      <c r="G112" s="164">
        <f t="shared" si="190"/>
        <v>-198760.83090481424</v>
      </c>
      <c r="H112" s="164">
        <f t="shared" si="190"/>
        <v>-193904.39002257359</v>
      </c>
      <c r="I112" s="164">
        <f t="shared" si="190"/>
        <v>353002.67819988419</v>
      </c>
      <c r="J112" s="164">
        <f t="shared" si="190"/>
        <v>691933.23287920747</v>
      </c>
      <c r="K112" s="164">
        <f>J112+K110</f>
        <v>683067.27098006068</v>
      </c>
      <c r="L112" s="164">
        <f>K112+L110</f>
        <v>656602.07103843451</v>
      </c>
      <c r="M112" s="164">
        <f>L112+M110</f>
        <v>542865.41772321123</v>
      </c>
      <c r="N112" s="164">
        <f>M112+N110</f>
        <v>478157.03352017829</v>
      </c>
      <c r="O112" s="164">
        <f>N112+O110</f>
        <v>483211.13332460378</v>
      </c>
      <c r="P112" s="11"/>
      <c r="S112" s="107"/>
      <c r="T112" s="183"/>
      <c r="U112" s="183"/>
      <c r="V112" s="183"/>
      <c r="W112" s="183"/>
      <c r="X112" s="183"/>
      <c r="Y112" s="183"/>
      <c r="Z112" s="183"/>
      <c r="AA112" s="183"/>
      <c r="AB112" s="183"/>
      <c r="AC112" s="183"/>
      <c r="AD112" s="149"/>
      <c r="AE112" s="149"/>
      <c r="AF112" s="11"/>
      <c r="AI112" s="107"/>
      <c r="AJ112" s="183"/>
      <c r="AK112" s="183"/>
      <c r="AL112" s="183"/>
      <c r="AM112" s="183"/>
      <c r="AN112" s="183"/>
      <c r="AO112" s="183"/>
      <c r="AP112" s="183"/>
      <c r="AQ112" s="183"/>
      <c r="AR112" s="183"/>
      <c r="AS112" s="183"/>
      <c r="AT112" s="183"/>
      <c r="AU112" s="183"/>
      <c r="AV112" s="13"/>
    </row>
    <row r="113" spans="3:48">
      <c r="C113" s="128" t="s">
        <v>680</v>
      </c>
      <c r="D113" s="283">
        <f t="shared" ref="D113:M113" si="191">D112/D40</f>
        <v>-0.15088291412583912</v>
      </c>
      <c r="E113" s="283">
        <f t="shared" si="191"/>
        <v>-0.13815005739734304</v>
      </c>
      <c r="F113" s="283">
        <f t="shared" si="191"/>
        <v>-0.15278298287307351</v>
      </c>
      <c r="G113" s="283">
        <f t="shared" si="191"/>
        <v>-0.24665525551469947</v>
      </c>
      <c r="H113" s="283">
        <f t="shared" si="191"/>
        <v>-0.12761448536779896</v>
      </c>
      <c r="I113" s="283">
        <f t="shared" si="191"/>
        <v>0.13635190546573744</v>
      </c>
      <c r="J113" s="283">
        <f t="shared" si="191"/>
        <v>0.18129681094868594</v>
      </c>
      <c r="K113" s="283">
        <f t="shared" si="191"/>
        <v>0.14172309827623691</v>
      </c>
      <c r="L113" s="283">
        <f t="shared" si="191"/>
        <v>0.11702612626761562</v>
      </c>
      <c r="M113" s="283">
        <f t="shared" si="191"/>
        <v>9.1434102470479214E-2</v>
      </c>
      <c r="N113" s="283">
        <f t="shared" ref="N113:O113" si="192">N112/N40</f>
        <v>7.7607852065444141E-2</v>
      </c>
      <c r="O113" s="283">
        <f t="shared" si="192"/>
        <v>7.6945159683181649E-2</v>
      </c>
      <c r="P113" s="11"/>
      <c r="S113" s="128"/>
      <c r="T113" s="183"/>
      <c r="U113" s="183"/>
      <c r="V113" s="183"/>
      <c r="W113" s="183"/>
      <c r="X113" s="183"/>
      <c r="Y113" s="183"/>
      <c r="Z113" s="183"/>
      <c r="AA113" s="183"/>
      <c r="AB113" s="183"/>
      <c r="AC113" s="183"/>
      <c r="AD113" s="149"/>
      <c r="AE113" s="149"/>
      <c r="AF113" s="11"/>
      <c r="AI113" s="128"/>
      <c r="AJ113" s="183"/>
      <c r="AK113" s="183"/>
      <c r="AL113" s="183"/>
      <c r="AM113" s="183"/>
      <c r="AN113" s="183"/>
      <c r="AO113" s="183"/>
      <c r="AP113" s="183"/>
      <c r="AQ113" s="183"/>
      <c r="AR113" s="183"/>
      <c r="AS113" s="183"/>
      <c r="AT113" s="183"/>
      <c r="AU113" s="183"/>
      <c r="AV113" s="13"/>
    </row>
    <row r="114" spans="3:48">
      <c r="C114" s="108" t="s">
        <v>523</v>
      </c>
      <c r="D114" s="164">
        <f t="shared" ref="D114:I114" si="193">D73-D39</f>
        <v>-18514.263535427002</v>
      </c>
      <c r="E114" s="164">
        <f t="shared" si="193"/>
        <v>-15389.463535426999</v>
      </c>
      <c r="F114" s="164">
        <f t="shared" si="193"/>
        <v>-26954.975920891535</v>
      </c>
      <c r="G114" s="164">
        <f t="shared" si="193"/>
        <v>-104842.34036032605</v>
      </c>
      <c r="H114" s="164">
        <f t="shared" si="193"/>
        <v>-53412.26424596447</v>
      </c>
      <c r="I114" s="164">
        <f t="shared" si="193"/>
        <v>22709.816890490474</v>
      </c>
      <c r="J114" s="164">
        <f>J73-J39</f>
        <v>30280.213559365598</v>
      </c>
      <c r="K114" s="164">
        <f>K73-K39</f>
        <v>54626.550608307007</v>
      </c>
      <c r="L114" s="164">
        <f>L73-L39</f>
        <v>-93234.314394959481</v>
      </c>
      <c r="M114" s="164">
        <f>M73-M71</f>
        <v>57782.385000000009</v>
      </c>
      <c r="N114" s="164">
        <f>N73-N71</f>
        <v>0</v>
      </c>
      <c r="O114" s="164">
        <f>O73-O71</f>
        <v>0</v>
      </c>
      <c r="P114" s="11"/>
      <c r="S114" s="107"/>
      <c r="T114" s="183"/>
      <c r="U114" s="183"/>
      <c r="V114" s="183"/>
      <c r="W114" s="183"/>
      <c r="X114" s="183"/>
      <c r="Y114" s="183"/>
      <c r="Z114" s="183"/>
      <c r="AA114" s="183"/>
      <c r="AB114" s="183"/>
      <c r="AC114" s="183"/>
      <c r="AD114" s="149"/>
      <c r="AE114" s="149"/>
      <c r="AF114" s="11"/>
      <c r="AI114" s="107"/>
      <c r="AJ114" s="183"/>
      <c r="AK114" s="183"/>
      <c r="AL114" s="183"/>
      <c r="AM114" s="183"/>
      <c r="AN114" s="183"/>
      <c r="AO114" s="183"/>
      <c r="AP114" s="183"/>
      <c r="AQ114" s="183"/>
      <c r="AR114" s="183"/>
      <c r="AS114" s="183"/>
      <c r="AT114" s="183"/>
      <c r="AU114" s="183"/>
      <c r="AV114" s="13"/>
    </row>
    <row r="115" spans="3:48">
      <c r="C115" s="124" t="s">
        <v>524</v>
      </c>
      <c r="D115" s="165">
        <f t="shared" ref="D115:L115" si="194">D114/D39</f>
        <v>-0.15088291412583912</v>
      </c>
      <c r="E115" s="165">
        <f t="shared" si="194"/>
        <v>-0.12541720066884696</v>
      </c>
      <c r="F115" s="165">
        <f t="shared" si="194"/>
        <v>-0.17626620215027619</v>
      </c>
      <c r="G115" s="165">
        <f t="shared" si="194"/>
        <v>-0.25728804989035819</v>
      </c>
      <c r="H115" s="165">
        <f t="shared" si="194"/>
        <v>-7.4845882748527756E-2</v>
      </c>
      <c r="I115" s="165">
        <f t="shared" si="194"/>
        <v>2.1234951175763718E-2</v>
      </c>
      <c r="J115" s="165">
        <f t="shared" si="194"/>
        <v>2.4664823802543905E-2</v>
      </c>
      <c r="K115" s="165">
        <f t="shared" si="194"/>
        <v>5.4454775095043088E-2</v>
      </c>
      <c r="L115" s="165">
        <f t="shared" si="194"/>
        <v>-0.11786903754370415</v>
      </c>
      <c r="M115" s="165">
        <f>M114/M71</f>
        <v>0.17697476605716314</v>
      </c>
      <c r="N115" s="165">
        <f>N114/N71</f>
        <v>0</v>
      </c>
      <c r="O115" s="165">
        <f>O114/O71</f>
        <v>0</v>
      </c>
      <c r="P115" s="11"/>
      <c r="S115" s="128"/>
      <c r="T115" s="183"/>
      <c r="U115" s="183"/>
      <c r="V115" s="183"/>
      <c r="W115" s="183"/>
      <c r="X115" s="183"/>
      <c r="Y115" s="183"/>
      <c r="Z115" s="183"/>
      <c r="AA115" s="183"/>
      <c r="AB115" s="183"/>
      <c r="AC115" s="183"/>
      <c r="AD115" s="149"/>
      <c r="AE115" s="149"/>
      <c r="AF115" s="11"/>
      <c r="AI115" s="128"/>
      <c r="AJ115" s="183"/>
      <c r="AK115" s="183"/>
      <c r="AL115" s="183"/>
      <c r="AM115" s="183"/>
      <c r="AN115" s="183"/>
      <c r="AO115" s="183"/>
      <c r="AP115" s="183"/>
      <c r="AQ115" s="183"/>
      <c r="AR115" s="183"/>
      <c r="AS115" s="183"/>
      <c r="AT115" s="183"/>
      <c r="AU115" s="183"/>
      <c r="AV115" s="13"/>
    </row>
    <row r="116" spans="3:48">
      <c r="C116" s="108" t="s">
        <v>681</v>
      </c>
      <c r="D116" s="164">
        <f>D114</f>
        <v>-18514.263535427002</v>
      </c>
      <c r="E116" s="164">
        <f t="shared" ref="E116:J116" si="195">D116+E114</f>
        <v>-33903.727070854002</v>
      </c>
      <c r="F116" s="164">
        <f t="shared" si="195"/>
        <v>-60858.702991745537</v>
      </c>
      <c r="G116" s="164">
        <f t="shared" si="195"/>
        <v>-165701.0433520716</v>
      </c>
      <c r="H116" s="164">
        <f t="shared" si="195"/>
        <v>-219113.30759803607</v>
      </c>
      <c r="I116" s="164">
        <f t="shared" si="195"/>
        <v>-196403.4907075456</v>
      </c>
      <c r="J116" s="164">
        <f t="shared" si="195"/>
        <v>-166123.27714818</v>
      </c>
      <c r="K116" s="164">
        <f>J116+K114</f>
        <v>-111496.72653987299</v>
      </c>
      <c r="L116" s="164">
        <f>K116+L114</f>
        <v>-204731.04093483248</v>
      </c>
      <c r="M116" s="164">
        <f>L116+M114</f>
        <v>-146948.65593483247</v>
      </c>
      <c r="N116" s="164">
        <f>M116+N114</f>
        <v>-146948.65593483247</v>
      </c>
      <c r="O116" s="164">
        <f>N116+O114</f>
        <v>-146948.65593483247</v>
      </c>
      <c r="P116" s="11"/>
      <c r="S116" s="107"/>
      <c r="T116" s="183"/>
      <c r="U116" s="183"/>
      <c r="V116" s="183"/>
      <c r="W116" s="183"/>
      <c r="X116" s="183"/>
      <c r="Y116" s="183"/>
      <c r="Z116" s="183"/>
      <c r="AA116" s="183"/>
      <c r="AB116" s="183"/>
      <c r="AC116" s="183"/>
      <c r="AD116" s="149"/>
      <c r="AE116" s="149"/>
      <c r="AF116" s="11"/>
      <c r="AI116" s="107"/>
      <c r="AJ116" s="183"/>
      <c r="AK116" s="183"/>
      <c r="AL116" s="183"/>
      <c r="AM116" s="183"/>
      <c r="AN116" s="183"/>
      <c r="AO116" s="183"/>
      <c r="AP116" s="183"/>
      <c r="AQ116" s="183"/>
      <c r="AR116" s="183"/>
      <c r="AS116" s="183"/>
      <c r="AT116" s="183"/>
      <c r="AU116" s="183"/>
      <c r="AV116" s="13"/>
    </row>
    <row r="117" spans="3:48">
      <c r="C117" s="128" t="s">
        <v>682</v>
      </c>
      <c r="D117" s="283">
        <f t="shared" ref="D117:M117" si="196">D116/D40</f>
        <v>-0.15088291412583912</v>
      </c>
      <c r="E117" s="283">
        <f t="shared" si="196"/>
        <v>-0.13815005739734304</v>
      </c>
      <c r="F117" s="283">
        <f t="shared" si="196"/>
        <v>-0.15278298287307351</v>
      </c>
      <c r="G117" s="283">
        <f t="shared" si="196"/>
        <v>-0.20562921276290339</v>
      </c>
      <c r="H117" s="283">
        <f t="shared" si="196"/>
        <v>-0.14420525488414354</v>
      </c>
      <c r="I117" s="283">
        <f t="shared" si="196"/>
        <v>-7.586341932208289E-2</v>
      </c>
      <c r="J117" s="283">
        <f t="shared" si="196"/>
        <v>-4.3526772440148798E-2</v>
      </c>
      <c r="K117" s="283">
        <f t="shared" si="196"/>
        <v>-2.313338993715364E-2</v>
      </c>
      <c r="L117" s="283">
        <f t="shared" si="196"/>
        <v>-3.6489194451440658E-2</v>
      </c>
      <c r="M117" s="283">
        <f t="shared" si="196"/>
        <v>-2.4750367265971782E-2</v>
      </c>
      <c r="N117" s="283">
        <f t="shared" ref="N117:O117" si="197">N116/N40</f>
        <v>-2.3850678232311441E-2</v>
      </c>
      <c r="O117" s="283">
        <f t="shared" si="197"/>
        <v>-2.3399683940102795E-2</v>
      </c>
      <c r="P117" s="11"/>
      <c r="S117" s="128"/>
      <c r="T117" s="183"/>
      <c r="U117" s="183"/>
      <c r="V117" s="183"/>
      <c r="W117" s="183"/>
      <c r="X117" s="183"/>
      <c r="Y117" s="183"/>
      <c r="Z117" s="183"/>
      <c r="AA117" s="183"/>
      <c r="AB117" s="183"/>
      <c r="AC117" s="183"/>
      <c r="AD117" s="149"/>
      <c r="AE117" s="149"/>
      <c r="AF117" s="11"/>
      <c r="AI117" s="128"/>
      <c r="AJ117" s="183"/>
      <c r="AK117" s="183"/>
      <c r="AL117" s="183"/>
      <c r="AM117" s="183"/>
      <c r="AN117" s="183"/>
      <c r="AO117" s="183"/>
      <c r="AP117" s="183"/>
      <c r="AQ117" s="183"/>
      <c r="AR117" s="183"/>
      <c r="AS117" s="183"/>
      <c r="AT117" s="183"/>
      <c r="AU117" s="183"/>
      <c r="AV117" s="13"/>
    </row>
    <row r="118" spans="3:48">
      <c r="C118" s="108" t="s">
        <v>526</v>
      </c>
      <c r="D118" s="164">
        <f t="shared" ref="D118:I118" si="198">D75-D44</f>
        <v>6574.2015579040162</v>
      </c>
      <c r="E118" s="164">
        <f t="shared" si="198"/>
        <v>14536.601557904025</v>
      </c>
      <c r="F118" s="164">
        <f t="shared" si="198"/>
        <v>5751.8652951731783</v>
      </c>
      <c r="G118" s="164">
        <f t="shared" si="198"/>
        <v>-51360.941072943388</v>
      </c>
      <c r="H118" s="164">
        <f t="shared" si="198"/>
        <v>-34495.947973561881</v>
      </c>
      <c r="I118" s="164">
        <f t="shared" si="198"/>
        <v>167204.3371673536</v>
      </c>
      <c r="J118" s="164">
        <f t="shared" ref="J118:O118" si="199">J75-J44</f>
        <v>132997.88015021617</v>
      </c>
      <c r="K118" s="164">
        <f t="shared" si="199"/>
        <v>-8561.6534598385915</v>
      </c>
      <c r="L118" s="164">
        <f t="shared" si="199"/>
        <v>17418.385517515475</v>
      </c>
      <c r="M118" s="164">
        <f t="shared" si="199"/>
        <v>-11200.955047948402</v>
      </c>
      <c r="N118" s="164">
        <f t="shared" si="199"/>
        <v>-350.90693306393223</v>
      </c>
      <c r="O118" s="164">
        <f t="shared" si="199"/>
        <v>21524.514410874865</v>
      </c>
      <c r="P118" s="11"/>
      <c r="S118" s="107"/>
      <c r="T118" s="183"/>
      <c r="U118" s="183"/>
      <c r="V118" s="183"/>
      <c r="W118" s="183"/>
      <c r="X118" s="183"/>
      <c r="Y118" s="183"/>
      <c r="Z118" s="183"/>
      <c r="AA118" s="183"/>
      <c r="AB118" s="183"/>
      <c r="AC118" s="183"/>
      <c r="AD118" s="149"/>
      <c r="AE118" s="149"/>
      <c r="AF118" s="11"/>
      <c r="AI118" s="107"/>
      <c r="AJ118" s="183"/>
      <c r="AK118" s="183"/>
      <c r="AL118" s="183"/>
      <c r="AM118" s="183"/>
      <c r="AN118" s="183"/>
      <c r="AO118" s="183"/>
      <c r="AP118" s="183"/>
      <c r="AQ118" s="183"/>
      <c r="AR118" s="183"/>
      <c r="AS118" s="183"/>
      <c r="AT118" s="183"/>
      <c r="AU118" s="183"/>
      <c r="AV118" s="13"/>
    </row>
    <row r="119" spans="3:48">
      <c r="C119" s="124" t="s">
        <v>527</v>
      </c>
      <c r="D119" s="165">
        <f t="shared" ref="D119:M119" si="200">D118/D44</f>
        <v>9.6733920849628258E-2</v>
      </c>
      <c r="E119" s="165">
        <f t="shared" si="200"/>
        <v>0.21389402988934053</v>
      </c>
      <c r="F119" s="165">
        <f t="shared" si="200"/>
        <v>7.2262215423997939E-2</v>
      </c>
      <c r="G119" s="165">
        <f t="shared" si="200"/>
        <v>-0.28036528466723287</v>
      </c>
      <c r="H119" s="165">
        <f t="shared" si="200"/>
        <v>-0.11255726436640751</v>
      </c>
      <c r="I119" s="165">
        <f t="shared" si="200"/>
        <v>0.37070716081522798</v>
      </c>
      <c r="J119" s="165">
        <f t="shared" si="200"/>
        <v>0.25821876881387629</v>
      </c>
      <c r="K119" s="165">
        <f t="shared" si="200"/>
        <v>-2.0267019416050854E-2</v>
      </c>
      <c r="L119" s="165">
        <f t="shared" si="200"/>
        <v>5.1477179699200036E-2</v>
      </c>
      <c r="M119" s="165">
        <f t="shared" si="200"/>
        <v>-5.7190723532474952E-2</v>
      </c>
      <c r="N119" s="165">
        <f t="shared" ref="N119:O119" si="201">N118/N44</f>
        <v>-3.221315441541449E-3</v>
      </c>
      <c r="O119" s="165">
        <f t="shared" si="201"/>
        <v>0.32727254813269702</v>
      </c>
      <c r="P119" s="11"/>
      <c r="S119" s="128"/>
      <c r="T119" s="183"/>
      <c r="U119" s="183"/>
      <c r="V119" s="183"/>
      <c r="W119" s="183"/>
      <c r="X119" s="183"/>
      <c r="Y119" s="183"/>
      <c r="Z119" s="183"/>
      <c r="AA119" s="183"/>
      <c r="AB119" s="183"/>
      <c r="AC119" s="183"/>
      <c r="AD119" s="149"/>
      <c r="AE119" s="149"/>
      <c r="AF119" s="11"/>
      <c r="AI119" s="128"/>
      <c r="AJ119" s="183"/>
      <c r="AK119" s="183"/>
      <c r="AL119" s="183"/>
      <c r="AM119" s="183"/>
      <c r="AN119" s="183"/>
      <c r="AO119" s="183"/>
      <c r="AP119" s="183"/>
      <c r="AQ119" s="183"/>
      <c r="AR119" s="183"/>
      <c r="AS119" s="183"/>
      <c r="AT119" s="183"/>
      <c r="AU119" s="183"/>
      <c r="AV119" s="13"/>
    </row>
    <row r="120" spans="3:48">
      <c r="C120" s="108" t="s">
        <v>683</v>
      </c>
      <c r="D120" s="164">
        <f>D118</f>
        <v>6574.2015579040162</v>
      </c>
      <c r="E120" s="164">
        <f t="shared" ref="E120:J120" si="202">D120+E118</f>
        <v>21110.803115808041</v>
      </c>
      <c r="F120" s="164">
        <f t="shared" si="202"/>
        <v>26862.668410981219</v>
      </c>
      <c r="G120" s="164">
        <f t="shared" si="202"/>
        <v>-24498.272661962168</v>
      </c>
      <c r="H120" s="164">
        <f t="shared" si="202"/>
        <v>-58994.220635524049</v>
      </c>
      <c r="I120" s="164">
        <f t="shared" si="202"/>
        <v>108210.11653182955</v>
      </c>
      <c r="J120" s="164">
        <f t="shared" si="202"/>
        <v>241207.99668204572</v>
      </c>
      <c r="K120" s="164">
        <f>J120+K118</f>
        <v>232646.34322220713</v>
      </c>
      <c r="L120" s="164">
        <f>K120+L118</f>
        <v>250064.7287397226</v>
      </c>
      <c r="M120" s="164">
        <f>L120+M118</f>
        <v>238863.7736917742</v>
      </c>
      <c r="N120" s="164">
        <f>M120+N118</f>
        <v>238512.86675871027</v>
      </c>
      <c r="O120" s="164">
        <f>N120+O118</f>
        <v>260037.38116958513</v>
      </c>
      <c r="P120" s="11"/>
      <c r="S120" s="107"/>
      <c r="T120" s="183"/>
      <c r="U120" s="183"/>
      <c r="V120" s="183"/>
      <c r="W120" s="183"/>
      <c r="X120" s="183"/>
      <c r="Y120" s="183"/>
      <c r="Z120" s="183"/>
      <c r="AA120" s="183"/>
      <c r="AB120" s="183"/>
      <c r="AC120" s="183"/>
      <c r="AD120" s="149"/>
      <c r="AE120" s="149"/>
      <c r="AF120" s="11"/>
      <c r="AI120" s="107"/>
      <c r="AJ120" s="183"/>
      <c r="AK120" s="183"/>
      <c r="AL120" s="183"/>
      <c r="AM120" s="183"/>
      <c r="AN120" s="183"/>
      <c r="AO120" s="183"/>
      <c r="AP120" s="183"/>
      <c r="AQ120" s="183"/>
      <c r="AR120" s="183"/>
      <c r="AS120" s="183"/>
      <c r="AT120" s="183"/>
      <c r="AU120" s="183"/>
      <c r="AV120" s="13"/>
    </row>
    <row r="121" spans="3:48">
      <c r="C121" s="128" t="s">
        <v>684</v>
      </c>
      <c r="D121" s="283">
        <f t="shared" ref="D121:M121" si="203">D120/D45</f>
        <v>9.6733920849628258E-2</v>
      </c>
      <c r="E121" s="283">
        <f t="shared" si="203"/>
        <v>0.15531397536948438</v>
      </c>
      <c r="F121" s="283">
        <f t="shared" si="203"/>
        <v>0.12464087858787525</v>
      </c>
      <c r="G121" s="283">
        <f t="shared" si="203"/>
        <v>-6.1443302877132344E-2</v>
      </c>
      <c r="H121" s="283">
        <f t="shared" si="203"/>
        <v>-8.3657422621296773E-2</v>
      </c>
      <c r="I121" s="283">
        <f t="shared" si="203"/>
        <v>9.3588772264735276E-2</v>
      </c>
      <c r="J121" s="283">
        <f t="shared" si="203"/>
        <v>0.14432456261784077</v>
      </c>
      <c r="K121" s="283">
        <f t="shared" si="203"/>
        <v>0.11111566609567879</v>
      </c>
      <c r="L121" s="283">
        <f t="shared" si="203"/>
        <v>0.10281834431664051</v>
      </c>
      <c r="M121" s="283">
        <f t="shared" si="203"/>
        <v>9.0893405857356974E-2</v>
      </c>
      <c r="N121" s="283">
        <f t="shared" ref="N121:O121" si="204">N120/N45</f>
        <v>8.7147479182947712E-2</v>
      </c>
      <c r="O121" s="283">
        <f t="shared" si="204"/>
        <v>9.2782445423827686E-2</v>
      </c>
      <c r="P121" s="11"/>
      <c r="S121" s="128"/>
      <c r="T121" s="183"/>
      <c r="U121" s="183"/>
      <c r="V121" s="183"/>
      <c r="W121" s="183"/>
      <c r="X121" s="183"/>
      <c r="Y121" s="183"/>
      <c r="Z121" s="183"/>
      <c r="AA121" s="183"/>
      <c r="AB121" s="183"/>
      <c r="AC121" s="183"/>
      <c r="AD121" s="149"/>
      <c r="AE121" s="149"/>
      <c r="AF121" s="11"/>
      <c r="AI121" s="128"/>
      <c r="AJ121" s="183"/>
      <c r="AK121" s="183"/>
      <c r="AL121" s="183"/>
      <c r="AM121" s="183"/>
      <c r="AN121" s="183"/>
      <c r="AO121" s="183"/>
      <c r="AP121" s="183"/>
      <c r="AQ121" s="183"/>
      <c r="AR121" s="183"/>
      <c r="AS121" s="183"/>
      <c r="AT121" s="183"/>
      <c r="AU121" s="183"/>
      <c r="AV121" s="13"/>
    </row>
    <row r="122" spans="3:48">
      <c r="C122" s="108" t="s">
        <v>528</v>
      </c>
      <c r="D122" s="164">
        <f t="shared" ref="D122:I122" si="205">D77-D44</f>
        <v>6574.2015579040162</v>
      </c>
      <c r="E122" s="164">
        <f t="shared" si="205"/>
        <v>14536.601557904025</v>
      </c>
      <c r="F122" s="164">
        <f t="shared" si="205"/>
        <v>5751.8652951731783</v>
      </c>
      <c r="G122" s="164">
        <f t="shared" si="205"/>
        <v>-40620.433478006686</v>
      </c>
      <c r="H122" s="164">
        <f t="shared" si="205"/>
        <v>-52879.05374279269</v>
      </c>
      <c r="I122" s="164">
        <f t="shared" si="205"/>
        <v>-20132.75330395787</v>
      </c>
      <c r="J122" s="164">
        <f t="shared" ref="J122:O122" si="206">J77-J44</f>
        <v>12590.112761681085</v>
      </c>
      <c r="K122" s="164">
        <f t="shared" si="206"/>
        <v>15421.773463238322</v>
      </c>
      <c r="L122" s="164">
        <f t="shared" si="206"/>
        <v>-10741.102482484537</v>
      </c>
      <c r="M122" s="164">
        <f t="shared" si="206"/>
        <v>16840.515952051617</v>
      </c>
      <c r="N122" s="164">
        <f t="shared" si="206"/>
        <v>-350.90693306393223</v>
      </c>
      <c r="O122" s="164">
        <f t="shared" si="206"/>
        <v>21524.514410874865</v>
      </c>
      <c r="P122" s="11"/>
      <c r="S122" s="107"/>
      <c r="T122" s="183"/>
      <c r="U122" s="183"/>
      <c r="V122" s="183"/>
      <c r="W122" s="183"/>
      <c r="X122" s="183"/>
      <c r="Y122" s="183"/>
      <c r="Z122" s="183"/>
      <c r="AA122" s="183"/>
      <c r="AB122" s="183"/>
      <c r="AC122" s="183"/>
      <c r="AD122" s="149"/>
      <c r="AE122" s="149"/>
      <c r="AF122" s="11"/>
      <c r="AI122" s="107"/>
      <c r="AJ122" s="183"/>
      <c r="AK122" s="183"/>
      <c r="AL122" s="183"/>
      <c r="AM122" s="183"/>
      <c r="AN122" s="183"/>
      <c r="AO122" s="183"/>
      <c r="AP122" s="183"/>
      <c r="AQ122" s="183"/>
      <c r="AR122" s="183"/>
      <c r="AS122" s="183"/>
      <c r="AT122" s="183"/>
      <c r="AU122" s="183"/>
      <c r="AV122" s="13"/>
    </row>
    <row r="123" spans="3:48">
      <c r="C123" s="124" t="s">
        <v>529</v>
      </c>
      <c r="D123" s="165">
        <f t="shared" ref="D123:M123" si="207">D122/D44</f>
        <v>9.6733920849628258E-2</v>
      </c>
      <c r="E123" s="165">
        <f t="shared" si="207"/>
        <v>0.21389402988934053</v>
      </c>
      <c r="F123" s="165">
        <f t="shared" si="207"/>
        <v>7.2262215423997939E-2</v>
      </c>
      <c r="G123" s="165">
        <f t="shared" si="207"/>
        <v>-0.22173580073608035</v>
      </c>
      <c r="H123" s="165">
        <f t="shared" si="207"/>
        <v>-0.17253973238058606</v>
      </c>
      <c r="I123" s="165">
        <f t="shared" si="207"/>
        <v>-4.4636137693208303E-2</v>
      </c>
      <c r="J123" s="165">
        <f t="shared" si="207"/>
        <v>2.4444024317359595E-2</v>
      </c>
      <c r="K123" s="165">
        <f t="shared" si="207"/>
        <v>3.6506194005110001E-2</v>
      </c>
      <c r="L123" s="165">
        <f t="shared" si="207"/>
        <v>-3.1743565561938934E-2</v>
      </c>
      <c r="M123" s="165">
        <f t="shared" si="207"/>
        <v>8.5985640316842998E-2</v>
      </c>
      <c r="N123" s="165">
        <f t="shared" ref="N123:O123" si="208">N122/N44</f>
        <v>-3.221315441541449E-3</v>
      </c>
      <c r="O123" s="165">
        <f t="shared" si="208"/>
        <v>0.32727254813269702</v>
      </c>
      <c r="P123" s="11"/>
      <c r="S123" s="128"/>
      <c r="T123" s="183"/>
      <c r="U123" s="183"/>
      <c r="V123" s="183"/>
      <c r="W123" s="183"/>
      <c r="X123" s="183"/>
      <c r="Y123" s="183"/>
      <c r="Z123" s="183"/>
      <c r="AA123" s="183"/>
      <c r="AB123" s="183"/>
      <c r="AC123" s="183"/>
      <c r="AD123" s="149"/>
      <c r="AE123" s="149"/>
      <c r="AF123" s="11"/>
      <c r="AI123" s="128"/>
      <c r="AJ123" s="183"/>
      <c r="AK123" s="183"/>
      <c r="AL123" s="183"/>
      <c r="AM123" s="183"/>
      <c r="AN123" s="183"/>
      <c r="AO123" s="183"/>
      <c r="AP123" s="183"/>
      <c r="AQ123" s="183"/>
      <c r="AR123" s="183"/>
      <c r="AS123" s="183"/>
      <c r="AT123" s="183"/>
      <c r="AU123" s="183"/>
      <c r="AV123" s="13"/>
    </row>
    <row r="124" spans="3:48">
      <c r="C124" s="108" t="s">
        <v>685</v>
      </c>
      <c r="D124" s="164">
        <f t="shared" ref="D124:I124" si="209">D122</f>
        <v>6574.2015579040162</v>
      </c>
      <c r="E124" s="164">
        <f t="shared" si="209"/>
        <v>14536.601557904025</v>
      </c>
      <c r="F124" s="164">
        <f t="shared" si="209"/>
        <v>5751.8652951731783</v>
      </c>
      <c r="G124" s="164">
        <f t="shared" si="209"/>
        <v>-40620.433478006686</v>
      </c>
      <c r="H124" s="164">
        <f t="shared" si="209"/>
        <v>-52879.05374279269</v>
      </c>
      <c r="I124" s="164">
        <f t="shared" si="209"/>
        <v>-20132.75330395787</v>
      </c>
      <c r="J124" s="164">
        <f t="shared" ref="J124:O124" si="210">J122</f>
        <v>12590.112761681085</v>
      </c>
      <c r="K124" s="164">
        <f t="shared" si="210"/>
        <v>15421.773463238322</v>
      </c>
      <c r="L124" s="164">
        <f t="shared" si="210"/>
        <v>-10741.102482484537</v>
      </c>
      <c r="M124" s="164">
        <f t="shared" si="210"/>
        <v>16840.515952051617</v>
      </c>
      <c r="N124" s="164">
        <f t="shared" si="210"/>
        <v>-350.90693306393223</v>
      </c>
      <c r="O124" s="164">
        <f t="shared" si="210"/>
        <v>21524.514410874865</v>
      </c>
      <c r="P124" s="11"/>
      <c r="S124" s="107"/>
      <c r="T124" s="183"/>
      <c r="U124" s="183"/>
      <c r="V124" s="183"/>
      <c r="W124" s="183"/>
      <c r="X124" s="183"/>
      <c r="Y124" s="183"/>
      <c r="Z124" s="183"/>
      <c r="AA124" s="183"/>
      <c r="AB124" s="183"/>
      <c r="AC124" s="183"/>
      <c r="AD124" s="149"/>
      <c r="AE124" s="149"/>
      <c r="AF124" s="11"/>
      <c r="AI124" s="107"/>
      <c r="AJ124" s="183"/>
      <c r="AK124" s="183"/>
      <c r="AL124" s="183"/>
      <c r="AM124" s="183"/>
      <c r="AN124" s="183"/>
      <c r="AO124" s="183"/>
      <c r="AP124" s="183"/>
      <c r="AQ124" s="183"/>
      <c r="AR124" s="183"/>
      <c r="AS124" s="183"/>
      <c r="AT124" s="183"/>
      <c r="AU124" s="183"/>
      <c r="AV124" s="13"/>
    </row>
    <row r="125" spans="3:48">
      <c r="C125" s="128" t="s">
        <v>686</v>
      </c>
      <c r="D125" s="283">
        <f t="shared" ref="D125:M125" si="211">D124/D45</f>
        <v>9.6733920849628258E-2</v>
      </c>
      <c r="E125" s="283">
        <f t="shared" si="211"/>
        <v>0.10694701494467027</v>
      </c>
      <c r="F125" s="283">
        <f t="shared" si="211"/>
        <v>2.6688247531523109E-2</v>
      </c>
      <c r="G125" s="283">
        <f t="shared" si="211"/>
        <v>-0.10187875821403598</v>
      </c>
      <c r="H125" s="283">
        <f t="shared" si="211"/>
        <v>-7.4985740961060782E-2</v>
      </c>
      <c r="I125" s="283">
        <f t="shared" si="211"/>
        <v>-1.7412416920112826E-2</v>
      </c>
      <c r="J125" s="283">
        <f t="shared" si="211"/>
        <v>7.5331769370570395E-3</v>
      </c>
      <c r="K125" s="283">
        <f t="shared" si="211"/>
        <v>7.3656890841721952E-3</v>
      </c>
      <c r="L125" s="283">
        <f t="shared" si="211"/>
        <v>-4.4163860251315275E-3</v>
      </c>
      <c r="M125" s="283">
        <f t="shared" si="211"/>
        <v>6.4082210023705859E-3</v>
      </c>
      <c r="N125" s="283">
        <f t="shared" ref="N125:O125" si="212">N124/N45</f>
        <v>-1.2821385722254451E-4</v>
      </c>
      <c r="O125" s="283">
        <f t="shared" si="212"/>
        <v>7.6800384414691877E-3</v>
      </c>
      <c r="P125" s="11"/>
      <c r="S125" s="128"/>
      <c r="T125" s="183"/>
      <c r="U125" s="183"/>
      <c r="V125" s="183"/>
      <c r="W125" s="183"/>
      <c r="X125" s="183"/>
      <c r="Y125" s="183"/>
      <c r="Z125" s="183"/>
      <c r="AA125" s="183"/>
      <c r="AB125" s="183"/>
      <c r="AC125" s="183"/>
      <c r="AD125" s="149"/>
      <c r="AE125" s="149"/>
      <c r="AF125" s="11"/>
      <c r="AI125" s="128"/>
      <c r="AJ125" s="183"/>
      <c r="AK125" s="183"/>
      <c r="AL125" s="183"/>
      <c r="AM125" s="183"/>
      <c r="AN125" s="183"/>
      <c r="AO125" s="183"/>
      <c r="AP125" s="183"/>
      <c r="AQ125" s="183"/>
      <c r="AR125" s="183"/>
      <c r="AS125" s="183"/>
      <c r="AT125" s="183"/>
      <c r="AU125" s="183"/>
      <c r="AV125" s="13"/>
    </row>
    <row r="126" spans="3:48">
      <c r="C126" s="108" t="s">
        <v>530</v>
      </c>
      <c r="D126" s="164">
        <f t="shared" ref="D126:I126" si="213">D79-D46</f>
        <v>-14345.5</v>
      </c>
      <c r="E126" s="164">
        <f t="shared" si="213"/>
        <v>-10790.699999999997</v>
      </c>
      <c r="F126" s="164">
        <f t="shared" si="213"/>
        <v>-8882.7149999999965</v>
      </c>
      <c r="G126" s="164">
        <f t="shared" si="213"/>
        <v>-21841.125</v>
      </c>
      <c r="H126" s="164">
        <f t="shared" si="213"/>
        <v>2426.25</v>
      </c>
      <c r="I126" s="164">
        <f t="shared" si="213"/>
        <v>57736.040000000037</v>
      </c>
      <c r="J126" s="164">
        <f t="shared" ref="J126:O126" si="214">J79-J46</f>
        <v>34092.315000000002</v>
      </c>
      <c r="K126" s="164">
        <f t="shared" si="214"/>
        <v>-10115.925000000017</v>
      </c>
      <c r="L126" s="164">
        <f t="shared" si="214"/>
        <v>11964.440000000002</v>
      </c>
      <c r="M126" s="164">
        <f t="shared" si="214"/>
        <v>-11823.62999999999</v>
      </c>
      <c r="N126" s="164">
        <f t="shared" si="214"/>
        <v>-1148.2000000000116</v>
      </c>
      <c r="O126" s="164">
        <f t="shared" si="214"/>
        <v>-6508.9000000000015</v>
      </c>
      <c r="P126" s="11"/>
      <c r="S126" s="107"/>
      <c r="T126" s="183"/>
      <c r="U126" s="183"/>
      <c r="V126" s="183"/>
      <c r="W126" s="183"/>
      <c r="X126" s="183"/>
      <c r="Y126" s="183"/>
      <c r="Z126" s="183"/>
      <c r="AA126" s="183"/>
      <c r="AB126" s="183"/>
      <c r="AC126" s="183"/>
      <c r="AD126" s="149"/>
      <c r="AE126" s="149"/>
      <c r="AF126" s="11"/>
      <c r="AI126" s="107"/>
      <c r="AJ126" s="183"/>
      <c r="AK126" s="183"/>
      <c r="AL126" s="183"/>
      <c r="AM126" s="183"/>
      <c r="AN126" s="183"/>
      <c r="AO126" s="183"/>
      <c r="AP126" s="183"/>
      <c r="AQ126" s="183"/>
      <c r="AR126" s="183"/>
      <c r="AS126" s="183"/>
      <c r="AT126" s="183"/>
      <c r="AU126" s="183"/>
      <c r="AV126" s="13"/>
    </row>
    <row r="127" spans="3:48">
      <c r="C127" s="124" t="s">
        <v>531</v>
      </c>
      <c r="D127" s="165">
        <f t="shared" ref="D127:M127" si="215">D126/D46</f>
        <v>-0.20028481476569099</v>
      </c>
      <c r="E127" s="165">
        <f t="shared" si="215"/>
        <v>-0.15065444569322375</v>
      </c>
      <c r="F127" s="165">
        <f t="shared" si="215"/>
        <v>-0.11916594843502637</v>
      </c>
      <c r="G127" s="165">
        <f t="shared" si="215"/>
        <v>-0.18963733944008204</v>
      </c>
      <c r="H127" s="165">
        <f t="shared" si="215"/>
        <v>1.5137463138990457E-2</v>
      </c>
      <c r="I127" s="165">
        <f t="shared" si="215"/>
        <v>0.26680590447675029</v>
      </c>
      <c r="J127" s="165">
        <f t="shared" si="215"/>
        <v>0.14170279153208537</v>
      </c>
      <c r="K127" s="165">
        <f t="shared" si="215"/>
        <v>-5.0292148790992176E-2</v>
      </c>
      <c r="L127" s="165">
        <f t="shared" si="215"/>
        <v>6.8833440361446271E-2</v>
      </c>
      <c r="M127" s="165">
        <f t="shared" si="215"/>
        <v>-9.9798160681923598E-2</v>
      </c>
      <c r="N127" s="165">
        <f t="shared" ref="N127:O127" si="216">N126/N46</f>
        <v>-1.3181171657151911E-2</v>
      </c>
      <c r="O127" s="165">
        <f t="shared" si="216"/>
        <v>-9.3903195556517369E-2</v>
      </c>
      <c r="P127" s="11"/>
      <c r="S127" s="128"/>
      <c r="T127" s="183"/>
      <c r="U127" s="183"/>
      <c r="V127" s="183"/>
      <c r="W127" s="183"/>
      <c r="X127" s="183"/>
      <c r="Y127" s="183"/>
      <c r="Z127" s="183"/>
      <c r="AA127" s="183"/>
      <c r="AB127" s="183"/>
      <c r="AC127" s="183"/>
      <c r="AD127" s="149"/>
      <c r="AE127" s="149"/>
      <c r="AF127" s="11"/>
      <c r="AI127" s="128"/>
      <c r="AJ127" s="183"/>
      <c r="AK127" s="183"/>
      <c r="AL127" s="183"/>
      <c r="AM127" s="183"/>
      <c r="AN127" s="183"/>
      <c r="AO127" s="183"/>
      <c r="AP127" s="183"/>
      <c r="AQ127" s="183"/>
      <c r="AR127" s="183"/>
      <c r="AS127" s="183"/>
      <c r="AT127" s="183"/>
      <c r="AU127" s="183"/>
      <c r="AV127" s="13"/>
    </row>
    <row r="128" spans="3:48">
      <c r="C128" s="108" t="s">
        <v>687</v>
      </c>
      <c r="D128" s="164">
        <f>D126</f>
        <v>-14345.5</v>
      </c>
      <c r="E128" s="164">
        <f t="shared" ref="E128:J128" si="217">D128+E126</f>
        <v>-25136.199999999997</v>
      </c>
      <c r="F128" s="164">
        <f t="shared" si="217"/>
        <v>-34018.914999999994</v>
      </c>
      <c r="G128" s="164">
        <f t="shared" si="217"/>
        <v>-55860.039999999994</v>
      </c>
      <c r="H128" s="164">
        <f t="shared" si="217"/>
        <v>-53433.789999999994</v>
      </c>
      <c r="I128" s="164">
        <f t="shared" si="217"/>
        <v>4302.2500000000437</v>
      </c>
      <c r="J128" s="164">
        <f t="shared" si="217"/>
        <v>38394.565000000046</v>
      </c>
      <c r="K128" s="164">
        <f>J128+K126</f>
        <v>28278.640000000029</v>
      </c>
      <c r="L128" s="164">
        <f>K128+L126</f>
        <v>40243.080000000031</v>
      </c>
      <c r="M128" s="164">
        <f>L128+M126</f>
        <v>28419.450000000041</v>
      </c>
      <c r="N128" s="164">
        <f>M128+N126</f>
        <v>27271.250000000029</v>
      </c>
      <c r="O128" s="164">
        <f>N128+O126</f>
        <v>20762.350000000028</v>
      </c>
      <c r="P128" s="11"/>
      <c r="S128" s="107"/>
      <c r="T128" s="183"/>
      <c r="U128" s="183"/>
      <c r="V128" s="183"/>
      <c r="W128" s="183"/>
      <c r="X128" s="183"/>
      <c r="Y128" s="183"/>
      <c r="Z128" s="183"/>
      <c r="AA128" s="183"/>
      <c r="AB128" s="183"/>
      <c r="AC128" s="183"/>
      <c r="AD128" s="149"/>
      <c r="AE128" s="149"/>
      <c r="AF128" s="11"/>
      <c r="AI128" s="107"/>
      <c r="AJ128" s="183"/>
      <c r="AK128" s="183"/>
      <c r="AL128" s="183"/>
      <c r="AM128" s="183"/>
      <c r="AN128" s="183"/>
      <c r="AO128" s="183"/>
      <c r="AP128" s="183"/>
      <c r="AQ128" s="183"/>
      <c r="AR128" s="183"/>
      <c r="AS128" s="183"/>
      <c r="AT128" s="183"/>
      <c r="AU128" s="183"/>
      <c r="AV128" s="13"/>
    </row>
    <row r="129" spans="3:48">
      <c r="C129" s="128" t="s">
        <v>688</v>
      </c>
      <c r="D129" s="283">
        <f t="shared" ref="D129:M129" si="218">D128/D47</f>
        <v>-0.20028481476569099</v>
      </c>
      <c r="E129" s="283">
        <f t="shared" si="218"/>
        <v>-0.17546963022945736</v>
      </c>
      <c r="F129" s="283">
        <f t="shared" si="218"/>
        <v>-0.15619930721423445</v>
      </c>
      <c r="G129" s="283">
        <f t="shared" si="218"/>
        <v>-0.16776558149503112</v>
      </c>
      <c r="H129" s="283">
        <f t="shared" si="218"/>
        <v>-0.10833091618241031</v>
      </c>
      <c r="I129" s="283">
        <f t="shared" si="218"/>
        <v>6.0625541161075736E-3</v>
      </c>
      <c r="J129" s="283">
        <f t="shared" si="218"/>
        <v>4.0405403120760588E-2</v>
      </c>
      <c r="K129" s="283">
        <f t="shared" si="218"/>
        <v>2.4560720207755498E-2</v>
      </c>
      <c r="L129" s="283">
        <f t="shared" si="218"/>
        <v>3.0367691394177262E-2</v>
      </c>
      <c r="M129" s="283">
        <f t="shared" si="218"/>
        <v>1.9685567197225629E-2</v>
      </c>
      <c r="N129" s="283">
        <f t="shared" ref="N129:O129" si="219">N128/N47</f>
        <v>1.7815282152685144E-2</v>
      </c>
      <c r="O129" s="283">
        <f t="shared" si="219"/>
        <v>1.2975710887386001E-2</v>
      </c>
      <c r="P129" s="11"/>
      <c r="S129" s="128"/>
      <c r="T129" s="183"/>
      <c r="U129" s="183"/>
      <c r="V129" s="183"/>
      <c r="W129" s="183"/>
      <c r="X129" s="183"/>
      <c r="Y129" s="183"/>
      <c r="Z129" s="183"/>
      <c r="AA129" s="183"/>
      <c r="AB129" s="183"/>
      <c r="AC129" s="183"/>
      <c r="AD129" s="149"/>
      <c r="AE129" s="149"/>
      <c r="AF129" s="11"/>
      <c r="AI129" s="128"/>
      <c r="AJ129" s="183"/>
      <c r="AK129" s="183"/>
      <c r="AL129" s="183"/>
      <c r="AM129" s="183"/>
      <c r="AN129" s="183"/>
      <c r="AO129" s="183"/>
      <c r="AP129" s="183"/>
      <c r="AQ129" s="183"/>
      <c r="AR129" s="183"/>
      <c r="AS129" s="183"/>
      <c r="AT129" s="183"/>
      <c r="AU129" s="183"/>
      <c r="AV129" s="13"/>
    </row>
    <row r="130" spans="3:48">
      <c r="C130" s="108" t="s">
        <v>532</v>
      </c>
      <c r="D130" s="164">
        <f t="shared" ref="D130:I130" si="220">D81-D46</f>
        <v>-14345.5</v>
      </c>
      <c r="E130" s="164">
        <f t="shared" si="220"/>
        <v>-10790.699999999997</v>
      </c>
      <c r="F130" s="164">
        <f t="shared" si="220"/>
        <v>-8882.7149999999965</v>
      </c>
      <c r="G130" s="164">
        <f t="shared" si="220"/>
        <v>-15091.290822784809</v>
      </c>
      <c r="H130" s="164">
        <f t="shared" si="220"/>
        <v>-7328.5384615384683</v>
      </c>
      <c r="I130" s="164">
        <f t="shared" si="220"/>
        <v>-16465.065655737679</v>
      </c>
      <c r="J130" s="164">
        <f t="shared" ref="J130:O130" si="221">J81-J46</f>
        <v>-11209.520191082789</v>
      </c>
      <c r="K130" s="164">
        <f t="shared" si="221"/>
        <v>-772.04230769231799</v>
      </c>
      <c r="L130" s="164">
        <f t="shared" si="221"/>
        <v>-786.82784000001266</v>
      </c>
      <c r="M130" s="164">
        <f t="shared" si="221"/>
        <v>432.80400000000373</v>
      </c>
      <c r="N130" s="164">
        <f t="shared" si="221"/>
        <v>-1148.2000000000116</v>
      </c>
      <c r="O130" s="164">
        <f t="shared" si="221"/>
        <v>-6508.9000000000015</v>
      </c>
      <c r="P130" s="11"/>
      <c r="S130" s="107"/>
      <c r="T130" s="183"/>
      <c r="U130" s="183"/>
      <c r="V130" s="183"/>
      <c r="W130" s="183"/>
      <c r="X130" s="183"/>
      <c r="Y130" s="183"/>
      <c r="Z130" s="183"/>
      <c r="AA130" s="183"/>
      <c r="AB130" s="183"/>
      <c r="AC130" s="183"/>
      <c r="AD130" s="149"/>
      <c r="AE130" s="149"/>
      <c r="AF130" s="11"/>
      <c r="AI130" s="107"/>
      <c r="AJ130" s="183"/>
      <c r="AK130" s="183"/>
      <c r="AL130" s="183"/>
      <c r="AM130" s="183"/>
      <c r="AN130" s="183"/>
      <c r="AO130" s="183"/>
      <c r="AP130" s="183"/>
      <c r="AQ130" s="183"/>
      <c r="AR130" s="183"/>
      <c r="AS130" s="183"/>
      <c r="AT130" s="183"/>
      <c r="AU130" s="183"/>
      <c r="AV130" s="13"/>
    </row>
    <row r="131" spans="3:48">
      <c r="C131" s="124" t="s">
        <v>533</v>
      </c>
      <c r="D131" s="165">
        <f t="shared" ref="D131:M131" si="222">D130/D46</f>
        <v>-0.20028481476569099</v>
      </c>
      <c r="E131" s="165">
        <f t="shared" si="222"/>
        <v>-0.15065444569322375</v>
      </c>
      <c r="F131" s="165">
        <f t="shared" si="222"/>
        <v>-0.11916594843502637</v>
      </c>
      <c r="G131" s="165">
        <f t="shared" si="222"/>
        <v>-0.13103135668833166</v>
      </c>
      <c r="H131" s="165">
        <f t="shared" si="222"/>
        <v>-4.5723021462838694E-2</v>
      </c>
      <c r="I131" s="165">
        <f t="shared" si="222"/>
        <v>-7.6087253898053375E-2</v>
      </c>
      <c r="J131" s="165">
        <f t="shared" si="222"/>
        <v>-4.6591740772420592E-2</v>
      </c>
      <c r="K131" s="165">
        <f t="shared" si="222"/>
        <v>-3.8382714987905656E-3</v>
      </c>
      <c r="L131" s="165">
        <f t="shared" si="222"/>
        <v>-4.5267532119653286E-3</v>
      </c>
      <c r="M131" s="165">
        <f t="shared" si="222"/>
        <v>3.6531118730694099E-3</v>
      </c>
      <c r="N131" s="165">
        <f t="shared" ref="N131:O131" si="223">N130/N46</f>
        <v>-1.3181171657151911E-2</v>
      </c>
      <c r="O131" s="165">
        <f t="shared" si="223"/>
        <v>-9.3903195556517369E-2</v>
      </c>
      <c r="P131" s="11"/>
      <c r="S131" s="128"/>
      <c r="T131" s="183"/>
      <c r="U131" s="183"/>
      <c r="V131" s="183"/>
      <c r="W131" s="183"/>
      <c r="X131" s="183"/>
      <c r="Y131" s="183"/>
      <c r="Z131" s="183"/>
      <c r="AA131" s="183"/>
      <c r="AB131" s="183"/>
      <c r="AC131" s="183"/>
      <c r="AD131" s="149"/>
      <c r="AE131" s="149"/>
      <c r="AF131" s="11"/>
      <c r="AI131" s="128"/>
      <c r="AJ131" s="183"/>
      <c r="AK131" s="183"/>
      <c r="AL131" s="183"/>
      <c r="AM131" s="183"/>
      <c r="AN131" s="183"/>
      <c r="AO131" s="183"/>
      <c r="AP131" s="183"/>
      <c r="AQ131" s="183"/>
      <c r="AR131" s="183"/>
      <c r="AS131" s="183"/>
      <c r="AT131" s="183"/>
      <c r="AU131" s="183"/>
      <c r="AV131" s="13"/>
    </row>
    <row r="132" spans="3:48">
      <c r="C132" s="108" t="s">
        <v>689</v>
      </c>
      <c r="D132" s="164">
        <f>D130</f>
        <v>-14345.5</v>
      </c>
      <c r="E132" s="164">
        <f t="shared" ref="E132:J132" si="224">D132+E130</f>
        <v>-25136.199999999997</v>
      </c>
      <c r="F132" s="164">
        <f t="shared" si="224"/>
        <v>-34018.914999999994</v>
      </c>
      <c r="G132" s="164">
        <f t="shared" si="224"/>
        <v>-49110.205822784803</v>
      </c>
      <c r="H132" s="164">
        <f t="shared" si="224"/>
        <v>-56438.744284323271</v>
      </c>
      <c r="I132" s="164">
        <f t="shared" si="224"/>
        <v>-72903.80994006095</v>
      </c>
      <c r="J132" s="164">
        <f t="shared" si="224"/>
        <v>-84113.330131143739</v>
      </c>
      <c r="K132" s="164">
        <f>J132+K130</f>
        <v>-84885.372438836057</v>
      </c>
      <c r="L132" s="164">
        <f>K132+L130</f>
        <v>-85672.20027883607</v>
      </c>
      <c r="M132" s="164">
        <f>L132+M130</f>
        <v>-85239.396278836066</v>
      </c>
      <c r="N132" s="164">
        <f>M132+N130</f>
        <v>-86387.596278836078</v>
      </c>
      <c r="O132" s="164">
        <f>N132+O130</f>
        <v>-92896.496278836072</v>
      </c>
      <c r="P132" s="11"/>
      <c r="S132" s="107"/>
      <c r="T132" s="183"/>
      <c r="U132" s="183"/>
      <c r="V132" s="183"/>
      <c r="W132" s="183"/>
      <c r="X132" s="183"/>
      <c r="Y132" s="183"/>
      <c r="Z132" s="183"/>
      <c r="AA132" s="183"/>
      <c r="AB132" s="183"/>
      <c r="AC132" s="183"/>
      <c r="AD132" s="149"/>
      <c r="AE132" s="149"/>
      <c r="AF132" s="11"/>
      <c r="AI132" s="107"/>
      <c r="AJ132" s="183"/>
      <c r="AK132" s="183"/>
      <c r="AL132" s="183"/>
      <c r="AM132" s="183"/>
      <c r="AN132" s="183"/>
      <c r="AO132" s="183"/>
      <c r="AP132" s="183"/>
      <c r="AQ132" s="183"/>
      <c r="AR132" s="183"/>
      <c r="AS132" s="183"/>
      <c r="AT132" s="183"/>
      <c r="AU132" s="183"/>
      <c r="AV132" s="13"/>
    </row>
    <row r="133" spans="3:48">
      <c r="C133" s="128" t="s">
        <v>690</v>
      </c>
      <c r="D133" s="283">
        <f t="shared" ref="D133:M133" si="225">D132/D47</f>
        <v>-0.20028481476569099</v>
      </c>
      <c r="E133" s="283">
        <f t="shared" si="225"/>
        <v>-0.17546963022945736</v>
      </c>
      <c r="F133" s="283">
        <f t="shared" si="225"/>
        <v>-0.15619930721423445</v>
      </c>
      <c r="G133" s="283">
        <f t="shared" si="225"/>
        <v>-0.1474936687693055</v>
      </c>
      <c r="H133" s="283">
        <f t="shared" si="225"/>
        <v>-0.11442311833964078</v>
      </c>
      <c r="I133" s="283">
        <f t="shared" si="225"/>
        <v>-0.10273305666384712</v>
      </c>
      <c r="J133" s="283">
        <f t="shared" si="225"/>
        <v>-8.8518596623727255E-2</v>
      </c>
      <c r="K133" s="283">
        <f t="shared" si="225"/>
        <v>-7.3725111327891654E-2</v>
      </c>
      <c r="L133" s="283">
        <f t="shared" si="225"/>
        <v>-6.4648802704162775E-2</v>
      </c>
      <c r="M133" s="283">
        <f t="shared" si="225"/>
        <v>-5.9043572739724701E-2</v>
      </c>
      <c r="N133" s="283">
        <f t="shared" ref="N133:O133" si="226">N132/N47</f>
        <v>-5.6433768243102769E-2</v>
      </c>
      <c r="O133" s="283">
        <f t="shared" si="226"/>
        <v>-5.8056919287330422E-2</v>
      </c>
      <c r="P133" s="11"/>
      <c r="S133" s="128"/>
      <c r="T133" s="183"/>
      <c r="U133" s="183"/>
      <c r="V133" s="183"/>
      <c r="W133" s="183"/>
      <c r="X133" s="183"/>
      <c r="Y133" s="183"/>
      <c r="Z133" s="183"/>
      <c r="AA133" s="183"/>
      <c r="AB133" s="183"/>
      <c r="AC133" s="183"/>
      <c r="AD133" s="149"/>
      <c r="AE133" s="149"/>
      <c r="AF133" s="11"/>
      <c r="AI133" s="128"/>
      <c r="AJ133" s="183"/>
      <c r="AK133" s="183"/>
      <c r="AL133" s="183"/>
      <c r="AM133" s="183"/>
      <c r="AN133" s="183"/>
      <c r="AO133" s="183"/>
      <c r="AP133" s="183"/>
      <c r="AQ133" s="183"/>
      <c r="AR133" s="183"/>
      <c r="AS133" s="183"/>
      <c r="AT133" s="183"/>
      <c r="AU133" s="183"/>
      <c r="AV133" s="13"/>
    </row>
    <row r="134" spans="3:48">
      <c r="C134" s="108" t="s">
        <v>534</v>
      </c>
      <c r="D134" s="164">
        <f t="shared" ref="D134:I134" si="227">D83-D48</f>
        <v>-589</v>
      </c>
      <c r="E134" s="164">
        <f t="shared" si="227"/>
        <v>961.69999999999982</v>
      </c>
      <c r="F134" s="164">
        <f t="shared" si="227"/>
        <v>-1696.2399999999998</v>
      </c>
      <c r="G134" s="164">
        <f t="shared" si="227"/>
        <v>-5843</v>
      </c>
      <c r="H134" s="164">
        <f t="shared" si="227"/>
        <v>-549.60000000000218</v>
      </c>
      <c r="I134" s="164">
        <f t="shared" si="227"/>
        <v>16589.64</v>
      </c>
      <c r="J134" s="164">
        <f t="shared" ref="J134:O134" si="228">J83-J48</f>
        <v>13878.340000000004</v>
      </c>
      <c r="K134" s="164">
        <f t="shared" si="228"/>
        <v>2142</v>
      </c>
      <c r="L134" s="164">
        <f t="shared" si="228"/>
        <v>-692.65999999999985</v>
      </c>
      <c r="M134" s="164">
        <f t="shared" si="228"/>
        <v>-224.4800000000032</v>
      </c>
      <c r="N134" s="164">
        <f t="shared" si="228"/>
        <v>-1328.9000000000005</v>
      </c>
      <c r="O134" s="164">
        <f t="shared" si="228"/>
        <v>1098.8999999999996</v>
      </c>
      <c r="P134" s="11"/>
      <c r="S134" s="107"/>
      <c r="T134" s="183"/>
      <c r="U134" s="183"/>
      <c r="V134" s="183"/>
      <c r="W134" s="183"/>
      <c r="X134" s="183"/>
      <c r="Y134" s="183"/>
      <c r="Z134" s="183"/>
      <c r="AA134" s="183"/>
      <c r="AB134" s="183"/>
      <c r="AC134" s="183"/>
      <c r="AD134" s="149"/>
      <c r="AE134" s="149"/>
      <c r="AF134" s="11"/>
      <c r="AI134" s="107"/>
      <c r="AJ134" s="183"/>
      <c r="AK134" s="183"/>
      <c r="AL134" s="183"/>
      <c r="AM134" s="183"/>
      <c r="AN134" s="183"/>
      <c r="AO134" s="183"/>
      <c r="AP134" s="183"/>
      <c r="AQ134" s="183"/>
      <c r="AR134" s="183"/>
      <c r="AS134" s="183"/>
      <c r="AT134" s="183"/>
      <c r="AU134" s="183"/>
      <c r="AV134" s="13"/>
    </row>
    <row r="135" spans="3:48">
      <c r="C135" s="124" t="s">
        <v>535</v>
      </c>
      <c r="D135" s="165">
        <f t="shared" ref="D135:M135" si="229">D134/D48</f>
        <v>-0.18627450980392157</v>
      </c>
      <c r="E135" s="165">
        <f t="shared" si="229"/>
        <v>0.30414294750158122</v>
      </c>
      <c r="F135" s="165">
        <f t="shared" si="229"/>
        <v>-0.36856834932554577</v>
      </c>
      <c r="G135" s="165">
        <f t="shared" si="229"/>
        <v>-0.36486824028974646</v>
      </c>
      <c r="H135" s="165">
        <f t="shared" si="229"/>
        <v>-1.8377337292352212E-2</v>
      </c>
      <c r="I135" s="165">
        <f t="shared" si="229"/>
        <v>0.36152647241878877</v>
      </c>
      <c r="J135" s="165">
        <f t="shared" si="229"/>
        <v>0.26171839051847567</v>
      </c>
      <c r="K135" s="165">
        <f t="shared" si="229"/>
        <v>4.9668874172185434E-2</v>
      </c>
      <c r="L135" s="165">
        <f t="shared" si="229"/>
        <v>-2.0787266786229608E-2</v>
      </c>
      <c r="M135" s="165">
        <f t="shared" si="229"/>
        <v>-1.2777428667705069E-2</v>
      </c>
      <c r="N135" s="165">
        <f t="shared" ref="N135:O135" si="230">N134/N48</f>
        <v>-0.17187904185420877</v>
      </c>
      <c r="O135" s="165">
        <f t="shared" si="230"/>
        <v>0.35911764705882343</v>
      </c>
      <c r="P135" s="11"/>
      <c r="S135" s="128"/>
      <c r="T135" s="183"/>
      <c r="U135" s="183"/>
      <c r="V135" s="183"/>
      <c r="W135" s="183"/>
      <c r="X135" s="183"/>
      <c r="Y135" s="183"/>
      <c r="Z135" s="183"/>
      <c r="AA135" s="183"/>
      <c r="AB135" s="183"/>
      <c r="AC135" s="183"/>
      <c r="AD135" s="149"/>
      <c r="AE135" s="149"/>
      <c r="AF135" s="11"/>
      <c r="AI135" s="128"/>
      <c r="AJ135" s="183"/>
      <c r="AK135" s="183"/>
      <c r="AL135" s="183"/>
      <c r="AM135" s="183"/>
      <c r="AN135" s="183"/>
      <c r="AO135" s="183"/>
      <c r="AP135" s="183"/>
      <c r="AQ135" s="183"/>
      <c r="AR135" s="183"/>
      <c r="AS135" s="183"/>
      <c r="AT135" s="183"/>
      <c r="AU135" s="183"/>
      <c r="AV135" s="13"/>
    </row>
    <row r="136" spans="3:48">
      <c r="C136" s="108" t="s">
        <v>691</v>
      </c>
      <c r="D136" s="164">
        <f>D134</f>
        <v>-589</v>
      </c>
      <c r="E136" s="164">
        <f t="shared" ref="E136:J136" si="231">D136+E134</f>
        <v>372.69999999999982</v>
      </c>
      <c r="F136" s="164">
        <f t="shared" si="231"/>
        <v>-1323.54</v>
      </c>
      <c r="G136" s="164">
        <f t="shared" si="231"/>
        <v>-7166.54</v>
      </c>
      <c r="H136" s="164">
        <f t="shared" si="231"/>
        <v>-7716.1400000000021</v>
      </c>
      <c r="I136" s="164">
        <f t="shared" si="231"/>
        <v>8873.4999999999964</v>
      </c>
      <c r="J136" s="164">
        <f t="shared" si="231"/>
        <v>22751.84</v>
      </c>
      <c r="K136" s="164">
        <f>J136+K134</f>
        <v>24893.84</v>
      </c>
      <c r="L136" s="164">
        <f>K136+L134</f>
        <v>24201.18</v>
      </c>
      <c r="M136" s="164">
        <f>L136+M134</f>
        <v>23976.699999999997</v>
      </c>
      <c r="N136" s="164">
        <f>M136+N134</f>
        <v>22647.799999999996</v>
      </c>
      <c r="O136" s="164">
        <f>N136+O134</f>
        <v>23746.699999999997</v>
      </c>
      <c r="P136" s="11"/>
      <c r="S136" s="107"/>
      <c r="T136" s="183"/>
      <c r="U136" s="183"/>
      <c r="V136" s="183"/>
      <c r="W136" s="183"/>
      <c r="X136" s="183"/>
      <c r="Y136" s="183"/>
      <c r="Z136" s="183"/>
      <c r="AA136" s="183"/>
      <c r="AB136" s="183"/>
      <c r="AC136" s="183"/>
      <c r="AD136" s="149"/>
      <c r="AE136" s="149"/>
      <c r="AF136" s="11"/>
      <c r="AI136" s="107"/>
      <c r="AJ136" s="183"/>
      <c r="AK136" s="183"/>
      <c r="AL136" s="183"/>
      <c r="AM136" s="183"/>
      <c r="AN136" s="183"/>
      <c r="AO136" s="183"/>
      <c r="AP136" s="183"/>
      <c r="AQ136" s="183"/>
      <c r="AR136" s="183"/>
      <c r="AS136" s="183"/>
      <c r="AT136" s="183"/>
      <c r="AU136" s="183"/>
      <c r="AV136" s="13"/>
    </row>
    <row r="137" spans="3:48">
      <c r="C137" s="128" t="s">
        <v>692</v>
      </c>
      <c r="D137" s="283">
        <f t="shared" ref="D137:M137" si="232">D136/D49</f>
        <v>-0.18627450980392157</v>
      </c>
      <c r="E137" s="283">
        <f t="shared" si="232"/>
        <v>5.8934218848829822E-2</v>
      </c>
      <c r="F137" s="283">
        <f t="shared" si="232"/>
        <v>-0.12113407723059351</v>
      </c>
      <c r="G137" s="283">
        <f t="shared" si="232"/>
        <v>-0.26601618990773657</v>
      </c>
      <c r="H137" s="283">
        <f t="shared" si="232"/>
        <v>-0.13573607868468571</v>
      </c>
      <c r="I137" s="283">
        <f t="shared" si="232"/>
        <v>8.6373210920587432E-2</v>
      </c>
      <c r="J137" s="283">
        <f t="shared" si="232"/>
        <v>0.14606782545902033</v>
      </c>
      <c r="K137" s="283">
        <f t="shared" si="232"/>
        <v>0.12516526909448827</v>
      </c>
      <c r="L137" s="283">
        <f t="shared" si="232"/>
        <v>0.10422148794155889</v>
      </c>
      <c r="M137" s="283">
        <f t="shared" si="232"/>
        <v>9.5992194656366284E-2</v>
      </c>
      <c r="N137" s="283">
        <f t="shared" ref="N137:O137" si="233">N136/N49</f>
        <v>8.7949479086572427E-2</v>
      </c>
      <c r="O137" s="283">
        <f t="shared" si="233"/>
        <v>9.1133948294733202E-2</v>
      </c>
      <c r="P137" s="11"/>
      <c r="S137" s="128"/>
      <c r="T137" s="183"/>
      <c r="U137" s="183"/>
      <c r="V137" s="183"/>
      <c r="W137" s="183"/>
      <c r="X137" s="183"/>
      <c r="Y137" s="183"/>
      <c r="Z137" s="183"/>
      <c r="AA137" s="183"/>
      <c r="AB137" s="183"/>
      <c r="AC137" s="183"/>
      <c r="AD137" s="149"/>
      <c r="AE137" s="149"/>
      <c r="AF137" s="11"/>
      <c r="AI137" s="128"/>
      <c r="AJ137" s="183"/>
      <c r="AK137" s="183"/>
      <c r="AL137" s="183"/>
      <c r="AM137" s="183"/>
      <c r="AN137" s="183"/>
      <c r="AO137" s="183"/>
      <c r="AP137" s="183"/>
      <c r="AQ137" s="183"/>
      <c r="AR137" s="183"/>
      <c r="AS137" s="183"/>
      <c r="AT137" s="183"/>
      <c r="AU137" s="183"/>
      <c r="AV137" s="13"/>
    </row>
    <row r="138" spans="3:48">
      <c r="C138" s="108" t="s">
        <v>536</v>
      </c>
      <c r="D138" s="164">
        <f t="shared" ref="D138:I138" si="234">D85-D48</f>
        <v>-589</v>
      </c>
      <c r="E138" s="164">
        <f t="shared" si="234"/>
        <v>961.69999999999982</v>
      </c>
      <c r="F138" s="164">
        <f t="shared" si="234"/>
        <v>-1696.2399999999998</v>
      </c>
      <c r="G138" s="164">
        <f t="shared" si="234"/>
        <v>-4376.1909810126581</v>
      </c>
      <c r="H138" s="164">
        <f t="shared" si="234"/>
        <v>-3064.5903846153888</v>
      </c>
      <c r="I138" s="164">
        <f t="shared" si="234"/>
        <v>-4072.1072336065627</v>
      </c>
      <c r="J138" s="164">
        <f t="shared" ref="J138:O138" si="235">J85-J48</f>
        <v>356.20121019108774</v>
      </c>
      <c r="K138" s="164">
        <f t="shared" si="235"/>
        <v>5170.952906976745</v>
      </c>
      <c r="L138" s="164">
        <f t="shared" si="235"/>
        <v>-3706.0667199999989</v>
      </c>
      <c r="M138" s="164">
        <f t="shared" si="235"/>
        <v>3594.1569999999992</v>
      </c>
      <c r="N138" s="164">
        <f t="shared" si="235"/>
        <v>-1328.9000000000005</v>
      </c>
      <c r="O138" s="164">
        <f t="shared" si="235"/>
        <v>1098.8999999999996</v>
      </c>
      <c r="P138" s="11"/>
      <c r="S138" s="107"/>
      <c r="T138" s="183"/>
      <c r="U138" s="183"/>
      <c r="V138" s="183"/>
      <c r="W138" s="183"/>
      <c r="X138" s="183"/>
      <c r="Y138" s="183"/>
      <c r="Z138" s="183"/>
      <c r="AA138" s="183"/>
      <c r="AB138" s="183"/>
      <c r="AC138" s="183"/>
      <c r="AD138" s="149"/>
      <c r="AE138" s="149"/>
      <c r="AF138" s="11"/>
      <c r="AI138" s="107"/>
      <c r="AJ138" s="183"/>
      <c r="AK138" s="183"/>
      <c r="AL138" s="183"/>
      <c r="AM138" s="183"/>
      <c r="AN138" s="183"/>
      <c r="AO138" s="183"/>
      <c r="AP138" s="183"/>
      <c r="AQ138" s="183"/>
      <c r="AR138" s="183"/>
      <c r="AS138" s="183"/>
      <c r="AT138" s="183"/>
      <c r="AU138" s="183"/>
      <c r="AV138" s="13"/>
    </row>
    <row r="139" spans="3:48">
      <c r="C139" s="124" t="s">
        <v>537</v>
      </c>
      <c r="D139" s="165">
        <f t="shared" ref="D139:M139" si="236">D138/D48</f>
        <v>-0.18627450980392157</v>
      </c>
      <c r="E139" s="165">
        <f t="shared" si="236"/>
        <v>0.30414294750158122</v>
      </c>
      <c r="F139" s="165">
        <f t="shared" si="236"/>
        <v>-0.36856834932554577</v>
      </c>
      <c r="G139" s="165">
        <f t="shared" si="236"/>
        <v>-0.27327282259352181</v>
      </c>
      <c r="H139" s="165">
        <f t="shared" si="236"/>
        <v>-0.10247272773103377</v>
      </c>
      <c r="I139" s="165">
        <f t="shared" si="236"/>
        <v>-8.8740597353336975E-2</v>
      </c>
      <c r="J139" s="165">
        <f t="shared" si="236"/>
        <v>6.71725922782874E-3</v>
      </c>
      <c r="K139" s="165">
        <f t="shared" si="236"/>
        <v>0.11990448612834941</v>
      </c>
      <c r="L139" s="165">
        <f t="shared" si="236"/>
        <v>-0.11122195252534707</v>
      </c>
      <c r="M139" s="165">
        <f t="shared" si="236"/>
        <v>0.20457984982195379</v>
      </c>
      <c r="N139" s="165">
        <f t="shared" ref="N139:O139" si="237">N138/N48</f>
        <v>-0.17187904185420877</v>
      </c>
      <c r="O139" s="165">
        <f t="shared" si="237"/>
        <v>0.35911764705882343</v>
      </c>
      <c r="P139" s="11"/>
      <c r="S139" s="128"/>
      <c r="T139" s="183"/>
      <c r="U139" s="183"/>
      <c r="V139" s="183"/>
      <c r="W139" s="183"/>
      <c r="X139" s="183"/>
      <c r="Y139" s="183"/>
      <c r="Z139" s="183"/>
      <c r="AA139" s="183"/>
      <c r="AB139" s="183"/>
      <c r="AC139" s="183"/>
      <c r="AD139" s="149"/>
      <c r="AE139" s="149"/>
      <c r="AF139" s="11"/>
      <c r="AI139" s="128"/>
      <c r="AJ139" s="183"/>
      <c r="AK139" s="183"/>
      <c r="AL139" s="183"/>
      <c r="AM139" s="183"/>
      <c r="AN139" s="183"/>
      <c r="AO139" s="183"/>
      <c r="AP139" s="183"/>
      <c r="AQ139" s="183"/>
      <c r="AR139" s="183"/>
      <c r="AS139" s="183"/>
      <c r="AT139" s="183"/>
      <c r="AU139" s="183"/>
      <c r="AV139" s="13"/>
    </row>
    <row r="140" spans="3:48">
      <c r="C140" s="108" t="s">
        <v>693</v>
      </c>
      <c r="D140" s="164">
        <f>D138</f>
        <v>-589</v>
      </c>
      <c r="E140" s="164">
        <f t="shared" ref="E140:J140" si="238">D140+E138</f>
        <v>372.69999999999982</v>
      </c>
      <c r="F140" s="164">
        <f t="shared" si="238"/>
        <v>-1323.54</v>
      </c>
      <c r="G140" s="164">
        <f t="shared" si="238"/>
        <v>-5699.730981012658</v>
      </c>
      <c r="H140" s="164">
        <f t="shared" si="238"/>
        <v>-8764.3213656280459</v>
      </c>
      <c r="I140" s="164">
        <f t="shared" si="238"/>
        <v>-12836.428599234609</v>
      </c>
      <c r="J140" s="164">
        <f t="shared" si="238"/>
        <v>-12480.227389043521</v>
      </c>
      <c r="K140" s="164">
        <f>J140+K138</f>
        <v>-7309.2744820667758</v>
      </c>
      <c r="L140" s="164">
        <f>K140+L138</f>
        <v>-11015.341202066775</v>
      </c>
      <c r="M140" s="164">
        <f>L140+M138</f>
        <v>-7421.1842020667755</v>
      </c>
      <c r="N140" s="164">
        <f>M140+N138</f>
        <v>-8750.0842020667769</v>
      </c>
      <c r="O140" s="164">
        <f>N140+O138</f>
        <v>-7651.1842020667773</v>
      </c>
      <c r="P140" s="11"/>
      <c r="S140" s="107"/>
      <c r="T140" s="183"/>
      <c r="U140" s="183"/>
      <c r="V140" s="183"/>
      <c r="W140" s="183"/>
      <c r="X140" s="183"/>
      <c r="Y140" s="183"/>
      <c r="Z140" s="183"/>
      <c r="AA140" s="183"/>
      <c r="AB140" s="183"/>
      <c r="AC140" s="183"/>
      <c r="AD140" s="149"/>
      <c r="AE140" s="149"/>
      <c r="AF140" s="11"/>
      <c r="AI140" s="107"/>
      <c r="AJ140" s="183"/>
      <c r="AK140" s="183"/>
      <c r="AL140" s="183"/>
      <c r="AM140" s="183"/>
      <c r="AN140" s="183"/>
      <c r="AO140" s="183"/>
      <c r="AP140" s="183"/>
      <c r="AQ140" s="183"/>
      <c r="AR140" s="183"/>
      <c r="AS140" s="183"/>
      <c r="AT140" s="183"/>
      <c r="AU140" s="183"/>
      <c r="AV140" s="13"/>
    </row>
    <row r="141" spans="3:48">
      <c r="C141" s="128" t="s">
        <v>694</v>
      </c>
      <c r="D141" s="283">
        <f t="shared" ref="D141:M141" si="239">D140/D49</f>
        <v>-0.18627450980392157</v>
      </c>
      <c r="E141" s="283">
        <f t="shared" si="239"/>
        <v>5.8934218848829822E-2</v>
      </c>
      <c r="F141" s="283">
        <f t="shared" si="239"/>
        <v>-0.12113407723059351</v>
      </c>
      <c r="G141" s="283">
        <f t="shared" si="239"/>
        <v>-0.21156942109694118</v>
      </c>
      <c r="H141" s="283">
        <f t="shared" si="239"/>
        <v>-0.15417483541029067</v>
      </c>
      <c r="I141" s="283">
        <f t="shared" si="239"/>
        <v>-0.12494771565546312</v>
      </c>
      <c r="J141" s="283">
        <f t="shared" si="239"/>
        <v>-8.0123615318659677E-2</v>
      </c>
      <c r="K141" s="283">
        <f t="shared" si="239"/>
        <v>-3.6750750685043541E-2</v>
      </c>
      <c r="L141" s="283">
        <f t="shared" si="239"/>
        <v>-4.7437160099770309E-2</v>
      </c>
      <c r="M141" s="283">
        <f t="shared" si="239"/>
        <v>-2.9711167863198204E-2</v>
      </c>
      <c r="N141" s="283">
        <f t="shared" ref="N141:O141" si="240">N140/N49</f>
        <v>-3.3979695490750528E-2</v>
      </c>
      <c r="O141" s="283">
        <f t="shared" si="240"/>
        <v>-2.9363348400604436E-2</v>
      </c>
      <c r="P141" s="11"/>
      <c r="S141" s="128"/>
      <c r="T141" s="183"/>
      <c r="U141" s="183"/>
      <c r="V141" s="183"/>
      <c r="W141" s="183"/>
      <c r="X141" s="183"/>
      <c r="Y141" s="183"/>
      <c r="Z141" s="183"/>
      <c r="AA141" s="183"/>
      <c r="AB141" s="183"/>
      <c r="AC141" s="183"/>
      <c r="AD141" s="149"/>
      <c r="AE141" s="149"/>
      <c r="AF141" s="11"/>
      <c r="AI141" s="128"/>
      <c r="AJ141" s="183"/>
      <c r="AK141" s="183"/>
      <c r="AL141" s="183"/>
      <c r="AM141" s="183"/>
      <c r="AN141" s="183"/>
      <c r="AO141" s="183"/>
      <c r="AP141" s="183"/>
      <c r="AQ141" s="183"/>
      <c r="AR141" s="183"/>
      <c r="AS141" s="183"/>
      <c r="AT141" s="183"/>
      <c r="AU141" s="183"/>
      <c r="AV141" s="13"/>
    </row>
    <row r="142" spans="3:48" s="108" customFormat="1">
      <c r="C142" s="281" t="s">
        <v>398</v>
      </c>
      <c r="D142" s="108">
        <f t="shared" ref="D142:I142" si="241">D87-D52</f>
        <v>-26874.561977522972</v>
      </c>
      <c r="E142" s="108">
        <f t="shared" si="241"/>
        <v>-10681.86197752296</v>
      </c>
      <c r="F142" s="108">
        <f t="shared" si="241"/>
        <v>-31782.065625718329</v>
      </c>
      <c r="G142" s="108">
        <f t="shared" si="241"/>
        <v>-216947.19398601213</v>
      </c>
      <c r="H142" s="108">
        <f t="shared" si="241"/>
        <v>-27762.857091321144</v>
      </c>
      <c r="I142" s="164">
        <f t="shared" si="241"/>
        <v>788437.08538981155</v>
      </c>
      <c r="J142" s="164">
        <f t="shared" ref="J142:O142" si="242">J87-J52</f>
        <v>519899.08982953941</v>
      </c>
      <c r="K142" s="164">
        <f t="shared" si="242"/>
        <v>-25401.540358985541</v>
      </c>
      <c r="L142" s="164">
        <f t="shared" si="242"/>
        <v>2224.9655758889858</v>
      </c>
      <c r="M142" s="164">
        <f t="shared" si="242"/>
        <v>-136985.71836317168</v>
      </c>
      <c r="N142" s="164">
        <f t="shared" si="242"/>
        <v>-67536.39113609679</v>
      </c>
      <c r="O142" s="164">
        <f t="shared" si="242"/>
        <v>21168.61421530036</v>
      </c>
      <c r="P142" s="161"/>
      <c r="S142" s="107"/>
      <c r="T142" s="107"/>
      <c r="U142" s="107"/>
      <c r="V142" s="107"/>
      <c r="W142" s="107"/>
      <c r="X142" s="107"/>
      <c r="Y142" s="107"/>
      <c r="Z142" s="107"/>
      <c r="AA142" s="107"/>
      <c r="AB142" s="107"/>
      <c r="AC142" s="107"/>
      <c r="AF142" s="161"/>
      <c r="AI142" s="107"/>
      <c r="AJ142" s="107"/>
      <c r="AK142" s="107"/>
      <c r="AL142" s="107"/>
      <c r="AM142" s="107"/>
      <c r="AN142" s="107"/>
      <c r="AO142" s="107"/>
      <c r="AP142" s="107"/>
      <c r="AQ142" s="107"/>
      <c r="AR142" s="107"/>
      <c r="AS142" s="107"/>
      <c r="AT142" s="107"/>
      <c r="AU142" s="107"/>
      <c r="AV142" s="185"/>
    </row>
    <row r="143" spans="3:48" s="124" customFormat="1">
      <c r="C143" s="282" t="s">
        <v>401</v>
      </c>
      <c r="D143" s="124">
        <f t="shared" ref="D143:M143" si="243">D142/D52</f>
        <v>-0.10123947686465845</v>
      </c>
      <c r="E143" s="124">
        <f t="shared" si="243"/>
        <v>-4.0239767235997405E-2</v>
      </c>
      <c r="F143" s="124">
        <f t="shared" si="243"/>
        <v>-0.10197604755622103</v>
      </c>
      <c r="G143" s="124">
        <f t="shared" si="243"/>
        <v>-0.30053491028362916</v>
      </c>
      <c r="H143" s="124">
        <f t="shared" si="243"/>
        <v>-2.2938971329074166E-2</v>
      </c>
      <c r="I143" s="165">
        <f t="shared" si="243"/>
        <v>0.4422511989432904</v>
      </c>
      <c r="J143" s="165">
        <f t="shared" si="243"/>
        <v>0.25530993655982331</v>
      </c>
      <c r="K143" s="165">
        <f t="shared" si="243"/>
        <v>-1.5211724333705944E-2</v>
      </c>
      <c r="L143" s="165">
        <f t="shared" si="243"/>
        <v>1.6647593480724747E-3</v>
      </c>
      <c r="M143" s="165">
        <f t="shared" si="243"/>
        <v>-0.17741186484018787</v>
      </c>
      <c r="N143" s="165">
        <f t="shared" ref="N143:O143" si="244">N142/N52</f>
        <v>-0.1578926275953304</v>
      </c>
      <c r="O143" s="165">
        <f t="shared" si="244"/>
        <v>8.2402685431518505E-2</v>
      </c>
      <c r="S143" s="128"/>
      <c r="T143" s="128"/>
      <c r="U143" s="128"/>
      <c r="V143" s="128"/>
      <c r="W143" s="128"/>
      <c r="X143" s="128"/>
      <c r="Y143" s="128"/>
      <c r="Z143" s="128"/>
      <c r="AA143" s="128"/>
      <c r="AB143" s="128"/>
      <c r="AC143" s="128"/>
      <c r="AI143" s="128"/>
      <c r="AJ143" s="128"/>
      <c r="AK143" s="128"/>
      <c r="AL143" s="128"/>
      <c r="AM143" s="128"/>
      <c r="AN143" s="128"/>
      <c r="AO143" s="128"/>
      <c r="AP143" s="128"/>
      <c r="AQ143" s="128"/>
      <c r="AR143" s="128"/>
      <c r="AS143" s="128"/>
      <c r="AT143" s="128"/>
      <c r="AU143" s="128"/>
      <c r="AV143" s="128"/>
    </row>
    <row r="144" spans="3:48" s="108" customFormat="1">
      <c r="C144" s="281" t="s">
        <v>695</v>
      </c>
      <c r="D144" s="108">
        <f>D142</f>
        <v>-26874.561977522972</v>
      </c>
      <c r="E144" s="108">
        <f t="shared" ref="E144:J144" si="245">D144+E142</f>
        <v>-37556.423955045932</v>
      </c>
      <c r="F144" s="108">
        <f t="shared" si="245"/>
        <v>-69338.489580764261</v>
      </c>
      <c r="G144" s="108">
        <f t="shared" si="245"/>
        <v>-286285.6835667764</v>
      </c>
      <c r="H144" s="108">
        <f t="shared" si="245"/>
        <v>-314048.54065809754</v>
      </c>
      <c r="I144" s="164">
        <f t="shared" si="245"/>
        <v>474388.54473171401</v>
      </c>
      <c r="J144" s="164">
        <f t="shared" si="245"/>
        <v>994287.63456125348</v>
      </c>
      <c r="K144" s="164">
        <f>J144+K142</f>
        <v>968886.09420226794</v>
      </c>
      <c r="L144" s="164">
        <f>K144+L142</f>
        <v>971111.05977815692</v>
      </c>
      <c r="M144" s="164">
        <f>L144+M142</f>
        <v>834125.34141498525</v>
      </c>
      <c r="N144" s="164">
        <f>M144+N142</f>
        <v>766588.95027888846</v>
      </c>
      <c r="O144" s="164">
        <f>N144+O142</f>
        <v>787757.56449418887</v>
      </c>
      <c r="P144" s="161"/>
      <c r="S144" s="107"/>
      <c r="T144" s="107"/>
      <c r="U144" s="107"/>
      <c r="V144" s="107"/>
      <c r="W144" s="107"/>
      <c r="X144" s="107"/>
      <c r="Y144" s="107"/>
      <c r="Z144" s="107"/>
      <c r="AA144" s="107"/>
      <c r="AB144" s="107"/>
      <c r="AC144" s="107"/>
      <c r="AI144" s="107"/>
      <c r="AJ144" s="107"/>
      <c r="AK144" s="107"/>
      <c r="AL144" s="107"/>
      <c r="AM144" s="107"/>
      <c r="AN144" s="107"/>
      <c r="AO144" s="107"/>
      <c r="AP144" s="107"/>
      <c r="AQ144" s="107"/>
      <c r="AR144" s="107"/>
      <c r="AS144" s="107"/>
      <c r="AT144" s="107"/>
      <c r="AU144" s="107"/>
      <c r="AV144" s="107"/>
    </row>
    <row r="145" spans="3:48" s="124" customFormat="1">
      <c r="C145" s="282" t="s">
        <v>696</v>
      </c>
      <c r="D145" s="282">
        <f t="shared" ref="D145:M145" si="246">D144/D53</f>
        <v>-0.10123947686465845</v>
      </c>
      <c r="E145" s="282">
        <f t="shared" si="246"/>
        <v>-7.0739622050327924E-2</v>
      </c>
      <c r="F145" s="282">
        <f t="shared" si="246"/>
        <v>-8.2293767895429845E-2</v>
      </c>
      <c r="G145" s="282">
        <f t="shared" si="246"/>
        <v>-0.18299528111537383</v>
      </c>
      <c r="H145" s="283">
        <f t="shared" si="246"/>
        <v>-0.1131814478637457</v>
      </c>
      <c r="I145" s="283">
        <f t="shared" si="246"/>
        <v>0.10408927103295396</v>
      </c>
      <c r="J145" s="283">
        <f t="shared" si="246"/>
        <v>0.15078989526997341</v>
      </c>
      <c r="K145" s="283">
        <f t="shared" si="246"/>
        <v>0.11724565462991984</v>
      </c>
      <c r="L145" s="283">
        <f t="shared" si="246"/>
        <v>0.10115491596508788</v>
      </c>
      <c r="M145" s="283">
        <f t="shared" si="246"/>
        <v>8.0418009846090807E-2</v>
      </c>
      <c r="N145" s="283">
        <f t="shared" ref="N145:O145" si="247">N144/N53</f>
        <v>7.0979761379165701E-2</v>
      </c>
      <c r="O145" s="335">
        <f t="shared" si="247"/>
        <v>7.1245155384040512E-2</v>
      </c>
      <c r="S145" s="128"/>
      <c r="T145" s="128"/>
      <c r="U145" s="128"/>
      <c r="V145" s="128"/>
      <c r="W145" s="128"/>
      <c r="X145" s="128"/>
      <c r="Y145" s="128"/>
      <c r="Z145" s="128"/>
      <c r="AA145" s="128"/>
      <c r="AB145" s="128"/>
      <c r="AC145" s="128"/>
      <c r="AI145" s="128"/>
      <c r="AJ145" s="128"/>
      <c r="AK145" s="128"/>
      <c r="AL145" s="128"/>
      <c r="AM145" s="128"/>
      <c r="AN145" s="128"/>
      <c r="AO145" s="128"/>
      <c r="AP145" s="128"/>
      <c r="AQ145" s="128"/>
      <c r="AR145" s="128"/>
      <c r="AS145" s="128"/>
      <c r="AT145" s="128"/>
      <c r="AU145" s="128"/>
      <c r="AV145" s="128"/>
    </row>
    <row r="146" spans="3:48" s="108" customFormat="1">
      <c r="C146" s="281" t="s">
        <v>399</v>
      </c>
      <c r="D146" s="108">
        <f t="shared" ref="D146:I146" si="248">D89-D52</f>
        <v>-26874.561977522972</v>
      </c>
      <c r="E146" s="108">
        <f t="shared" si="248"/>
        <v>-10681.86197752296</v>
      </c>
      <c r="F146" s="108">
        <f t="shared" si="248"/>
        <v>-31782.065625718329</v>
      </c>
      <c r="G146" s="108">
        <f t="shared" si="248"/>
        <v>-164930.25564213027</v>
      </c>
      <c r="H146" s="108">
        <f t="shared" si="248"/>
        <v>-116684.44683491113</v>
      </c>
      <c r="I146" s="164">
        <f t="shared" si="248"/>
        <v>-17960.109302811557</v>
      </c>
      <c r="J146" s="164">
        <f t="shared" ref="J146:O146" si="249">J89-J52</f>
        <v>32017.007340155076</v>
      </c>
      <c r="K146" s="164">
        <f t="shared" si="249"/>
        <v>74447.234670829494</v>
      </c>
      <c r="L146" s="164">
        <f t="shared" si="249"/>
        <v>-108468.31143744406</v>
      </c>
      <c r="M146" s="164">
        <f t="shared" si="249"/>
        <v>-35086.791363171767</v>
      </c>
      <c r="N146" s="164">
        <f t="shared" si="249"/>
        <v>-67536.39113609679</v>
      </c>
      <c r="O146" s="164">
        <f t="shared" si="249"/>
        <v>21168.61421530036</v>
      </c>
      <c r="P146" s="161"/>
      <c r="S146" s="107"/>
      <c r="T146" s="107"/>
      <c r="U146" s="107"/>
      <c r="V146" s="107"/>
      <c r="W146" s="107"/>
      <c r="X146" s="107"/>
      <c r="Y146" s="107"/>
      <c r="Z146" s="107"/>
      <c r="AA146" s="107"/>
      <c r="AB146" s="107"/>
      <c r="AC146" s="107"/>
      <c r="AI146" s="107"/>
      <c r="AJ146" s="107"/>
      <c r="AK146" s="107"/>
      <c r="AL146" s="107"/>
      <c r="AM146" s="107"/>
      <c r="AN146" s="107"/>
      <c r="AO146" s="107"/>
      <c r="AP146" s="107"/>
      <c r="AQ146" s="107"/>
      <c r="AR146" s="107"/>
      <c r="AS146" s="107"/>
      <c r="AT146" s="107"/>
      <c r="AU146" s="107"/>
      <c r="AV146" s="107"/>
    </row>
    <row r="147" spans="3:48" s="124" customFormat="1">
      <c r="C147" s="282" t="s">
        <v>400</v>
      </c>
      <c r="D147" s="128">
        <f t="shared" ref="D147:M147" si="250">D146/D52</f>
        <v>-0.10123947686465845</v>
      </c>
      <c r="E147" s="128">
        <f t="shared" si="250"/>
        <v>-4.0239767235997405E-2</v>
      </c>
      <c r="F147" s="128">
        <f t="shared" si="250"/>
        <v>-0.10197604755622103</v>
      </c>
      <c r="G147" s="128">
        <f t="shared" si="250"/>
        <v>-0.22847633413345525</v>
      </c>
      <c r="H147" s="128">
        <f t="shared" si="250"/>
        <v>-9.6410148699415915E-2</v>
      </c>
      <c r="I147" s="298">
        <f t="shared" si="250"/>
        <v>-1.0074208861438718E-2</v>
      </c>
      <c r="J147" s="298">
        <f t="shared" si="250"/>
        <v>1.5722782118219335E-2</v>
      </c>
      <c r="K147" s="298">
        <f t="shared" si="250"/>
        <v>4.4582761329226776E-2</v>
      </c>
      <c r="L147" s="298">
        <f t="shared" si="250"/>
        <v>-8.1157945719215571E-2</v>
      </c>
      <c r="M147" s="298">
        <f t="shared" si="250"/>
        <v>-4.5441328931063431E-2</v>
      </c>
      <c r="N147" s="298">
        <f t="shared" ref="N147:O147" si="251">N146/N52</f>
        <v>-0.1578926275953304</v>
      </c>
      <c r="O147" s="298">
        <f t="shared" si="251"/>
        <v>8.2402685431518505E-2</v>
      </c>
      <c r="S147" s="128"/>
      <c r="T147" s="128"/>
      <c r="U147" s="128"/>
      <c r="V147" s="128"/>
      <c r="W147" s="128"/>
      <c r="X147" s="128"/>
      <c r="Y147" s="128"/>
      <c r="Z147" s="128"/>
      <c r="AA147" s="128"/>
      <c r="AB147" s="128"/>
      <c r="AC147" s="128"/>
      <c r="AI147" s="128"/>
      <c r="AJ147" s="128"/>
      <c r="AK147" s="128"/>
      <c r="AL147" s="128"/>
      <c r="AM147" s="128"/>
      <c r="AN147" s="128"/>
      <c r="AO147" s="128"/>
      <c r="AP147" s="128"/>
      <c r="AQ147" s="128"/>
      <c r="AR147" s="128"/>
      <c r="AS147" s="128"/>
      <c r="AT147" s="128"/>
      <c r="AU147" s="128"/>
      <c r="AV147" s="128"/>
    </row>
    <row r="148" spans="3:48" s="108" customFormat="1">
      <c r="C148" s="281" t="s">
        <v>697</v>
      </c>
      <c r="D148" s="108">
        <f>D146</f>
        <v>-26874.561977522972</v>
      </c>
      <c r="E148" s="108">
        <f t="shared" ref="E148:J148" si="252">D148+E146</f>
        <v>-37556.423955045932</v>
      </c>
      <c r="F148" s="108">
        <f t="shared" si="252"/>
        <v>-69338.489580764261</v>
      </c>
      <c r="G148" s="108">
        <f t="shared" si="252"/>
        <v>-234268.74522289453</v>
      </c>
      <c r="H148" s="108">
        <f t="shared" si="252"/>
        <v>-350953.19205780566</v>
      </c>
      <c r="I148" s="164">
        <f t="shared" si="252"/>
        <v>-368913.30136061722</v>
      </c>
      <c r="J148" s="164">
        <f t="shared" si="252"/>
        <v>-336896.29402046214</v>
      </c>
      <c r="K148" s="164">
        <f>J148+K146</f>
        <v>-262449.05934963265</v>
      </c>
      <c r="L148" s="164">
        <f>K148+L146</f>
        <v>-370917.37078707671</v>
      </c>
      <c r="M148" s="164">
        <f>L148+M146</f>
        <v>-406004.16215024848</v>
      </c>
      <c r="N148" s="164">
        <f>M148+N146</f>
        <v>-473540.55328634527</v>
      </c>
      <c r="O148" s="164">
        <f>N148+O146</f>
        <v>-452371.93907104491</v>
      </c>
      <c r="P148" s="161"/>
      <c r="S148" s="107"/>
      <c r="T148" s="107"/>
      <c r="U148" s="107"/>
      <c r="V148" s="107"/>
      <c r="W148" s="107"/>
      <c r="X148" s="107"/>
      <c r="Y148" s="107"/>
      <c r="Z148" s="107"/>
      <c r="AA148" s="107"/>
      <c r="AB148" s="107"/>
      <c r="AC148" s="107"/>
      <c r="AI148" s="107"/>
      <c r="AJ148" s="107"/>
      <c r="AK148" s="107"/>
      <c r="AL148" s="107"/>
      <c r="AM148" s="107"/>
      <c r="AN148" s="107"/>
      <c r="AO148" s="107"/>
      <c r="AP148" s="107"/>
      <c r="AQ148" s="107"/>
      <c r="AR148" s="107"/>
      <c r="AS148" s="107"/>
      <c r="AT148" s="107"/>
      <c r="AU148" s="107"/>
      <c r="AV148" s="107"/>
    </row>
    <row r="149" spans="3:48" s="124" customFormat="1">
      <c r="C149" s="282" t="s">
        <v>698</v>
      </c>
      <c r="D149" s="282">
        <f t="shared" ref="D149:M149" si="253">D148/D53</f>
        <v>-0.10123947686465845</v>
      </c>
      <c r="E149" s="282">
        <f t="shared" si="253"/>
        <v>-7.0739622050327924E-2</v>
      </c>
      <c r="F149" s="282">
        <f t="shared" si="253"/>
        <v>-8.2293767895429845E-2</v>
      </c>
      <c r="G149" s="282">
        <f t="shared" si="253"/>
        <v>-0.14974578663696952</v>
      </c>
      <c r="H149" s="283">
        <f t="shared" si="253"/>
        <v>-0.1264816907802481</v>
      </c>
      <c r="I149" s="283">
        <f t="shared" si="253"/>
        <v>-8.0946129579717863E-2</v>
      </c>
      <c r="J149" s="283">
        <f t="shared" si="253"/>
        <v>-5.1092415440331079E-2</v>
      </c>
      <c r="K149" s="335">
        <f t="shared" si="253"/>
        <v>-3.1759163388333761E-2</v>
      </c>
      <c r="L149" s="283">
        <f t="shared" si="253"/>
        <v>-3.8636276555772391E-2</v>
      </c>
      <c r="M149" s="283">
        <f t="shared" si="253"/>
        <v>-3.9142854302886866E-2</v>
      </c>
      <c r="N149" s="283">
        <f t="shared" ref="N149:O149" si="254">N148/N53</f>
        <v>-4.384591698509973E-2</v>
      </c>
      <c r="O149" s="335">
        <f t="shared" si="254"/>
        <v>-4.091272561906837E-2</v>
      </c>
      <c r="S149" s="128"/>
      <c r="T149" s="128"/>
      <c r="U149" s="128"/>
      <c r="V149" s="128"/>
      <c r="W149" s="128"/>
      <c r="X149" s="128"/>
      <c r="Y149" s="128"/>
      <c r="Z149" s="128"/>
      <c r="AA149" s="128"/>
      <c r="AB149" s="128"/>
      <c r="AC149" s="128"/>
      <c r="AI149" s="128"/>
      <c r="AJ149" s="128"/>
      <c r="AK149" s="128"/>
      <c r="AL149" s="128"/>
      <c r="AM149" s="128"/>
      <c r="AN149" s="128"/>
      <c r="AO149" s="128"/>
      <c r="AP149" s="128"/>
      <c r="AQ149" s="128"/>
      <c r="AR149" s="128"/>
      <c r="AS149" s="128"/>
      <c r="AT149" s="128"/>
      <c r="AU149" s="128"/>
      <c r="AV149" s="128"/>
    </row>
    <row r="150" spans="3:48" s="108" customFormat="1">
      <c r="C150" s="108" t="s">
        <v>570</v>
      </c>
      <c r="D150" s="108">
        <f t="shared" ref="D150:I150" si="255">D91-D54</f>
        <v>437</v>
      </c>
      <c r="E150" s="108">
        <f t="shared" si="255"/>
        <v>6239.2999999999993</v>
      </c>
      <c r="F150" s="108">
        <f t="shared" si="255"/>
        <v>5464</v>
      </c>
      <c r="G150" s="108">
        <f t="shared" si="255"/>
        <v>1944</v>
      </c>
      <c r="H150" s="108">
        <f t="shared" si="255"/>
        <v>-10232</v>
      </c>
      <c r="I150" s="164">
        <f t="shared" si="255"/>
        <v>-495.5</v>
      </c>
      <c r="J150" s="164">
        <f t="shared" ref="J150:O150" si="256">J91-J54</f>
        <v>-9990.4000000000015</v>
      </c>
      <c r="K150" s="164">
        <f t="shared" si="256"/>
        <v>-7735.4000000000015</v>
      </c>
      <c r="L150" s="164">
        <f t="shared" si="256"/>
        <v>-4225.4000000000015</v>
      </c>
      <c r="M150" s="164">
        <f t="shared" si="256"/>
        <v>-15939.3</v>
      </c>
      <c r="N150" s="164">
        <f t="shared" si="256"/>
        <v>3809.7999999999993</v>
      </c>
      <c r="O150" s="164">
        <f t="shared" si="256"/>
        <v>4091.6000000000004</v>
      </c>
      <c r="P150" s="161"/>
      <c r="S150" s="107"/>
      <c r="T150" s="107"/>
      <c r="U150" s="107"/>
      <c r="V150" s="107"/>
      <c r="W150" s="107"/>
      <c r="X150" s="107"/>
      <c r="Y150" s="107"/>
      <c r="Z150" s="107"/>
      <c r="AA150" s="107"/>
      <c r="AB150" s="107"/>
      <c r="AC150" s="107"/>
      <c r="AI150" s="107"/>
      <c r="AJ150" s="107"/>
      <c r="AK150" s="107"/>
      <c r="AL150" s="107"/>
      <c r="AM150" s="107"/>
      <c r="AN150" s="107"/>
      <c r="AO150" s="107"/>
      <c r="AP150" s="107"/>
      <c r="AQ150" s="107"/>
      <c r="AR150" s="107"/>
      <c r="AS150" s="107"/>
      <c r="AT150" s="107"/>
      <c r="AU150" s="107"/>
      <c r="AV150" s="107"/>
    </row>
    <row r="151" spans="3:48" s="124" customFormat="1">
      <c r="C151" s="124" t="s">
        <v>571</v>
      </c>
      <c r="D151" s="124">
        <f t="shared" ref="D151:M151" si="257">D150/D54</f>
        <v>2.1421568627450982E-2</v>
      </c>
      <c r="E151" s="124">
        <f t="shared" si="257"/>
        <v>0.32838421052631578</v>
      </c>
      <c r="F151" s="124">
        <f t="shared" si="257"/>
        <v>0.28458333333333335</v>
      </c>
      <c r="G151" s="124">
        <f t="shared" si="257"/>
        <v>0.11710843373493976</v>
      </c>
      <c r="H151" s="124">
        <f t="shared" si="257"/>
        <v>-0.37207272727272728</v>
      </c>
      <c r="I151" s="165">
        <f t="shared" si="257"/>
        <v>-1.3501362397820163E-2</v>
      </c>
      <c r="J151" s="165">
        <f t="shared" si="257"/>
        <v>-0.2317958236658933</v>
      </c>
      <c r="K151" s="165">
        <f t="shared" si="257"/>
        <v>-0.23229429429429435</v>
      </c>
      <c r="L151" s="165">
        <f t="shared" si="257"/>
        <v>-0.1612748091603054</v>
      </c>
      <c r="M151" s="165">
        <f t="shared" si="257"/>
        <v>-0.54586643835616433</v>
      </c>
      <c r="N151" s="165">
        <f t="shared" ref="N151:O151" si="258">N150/N54</f>
        <v>0.32286440677966094</v>
      </c>
      <c r="O151" s="165">
        <f t="shared" si="258"/>
        <v>0.36208849557522127</v>
      </c>
      <c r="S151" s="128"/>
      <c r="T151" s="128"/>
      <c r="U151" s="128"/>
      <c r="V151" s="128"/>
      <c r="W151" s="128"/>
      <c r="X151" s="128"/>
      <c r="Y151" s="128"/>
      <c r="Z151" s="128"/>
      <c r="AA151" s="128"/>
      <c r="AB151" s="128"/>
      <c r="AC151" s="128"/>
      <c r="AI151" s="128"/>
      <c r="AJ151" s="128"/>
      <c r="AK151" s="128"/>
      <c r="AL151" s="128"/>
      <c r="AM151" s="128"/>
      <c r="AN151" s="128"/>
      <c r="AO151" s="128"/>
      <c r="AP151" s="128"/>
      <c r="AQ151" s="128"/>
      <c r="AR151" s="128"/>
      <c r="AS151" s="128"/>
      <c r="AT151" s="128"/>
      <c r="AU151" s="128"/>
      <c r="AV151" s="128"/>
    </row>
    <row r="152" spans="3:48" s="108" customFormat="1">
      <c r="C152" s="108" t="s">
        <v>699</v>
      </c>
      <c r="D152" s="108">
        <f>D150</f>
        <v>437</v>
      </c>
      <c r="E152" s="108">
        <f t="shared" ref="E152:J152" si="259">D152+E150</f>
        <v>6676.2999999999993</v>
      </c>
      <c r="F152" s="108">
        <f t="shared" si="259"/>
        <v>12140.3</v>
      </c>
      <c r="G152" s="108">
        <f t="shared" si="259"/>
        <v>14084.3</v>
      </c>
      <c r="H152" s="108">
        <f t="shared" si="259"/>
        <v>3852.2999999999993</v>
      </c>
      <c r="I152" s="164">
        <f t="shared" si="259"/>
        <v>3356.7999999999993</v>
      </c>
      <c r="J152" s="164">
        <f t="shared" si="259"/>
        <v>-6633.6000000000022</v>
      </c>
      <c r="K152" s="164">
        <f>J152+K150</f>
        <v>-14369.000000000004</v>
      </c>
      <c r="L152" s="164">
        <f>K152+L150</f>
        <v>-18594.400000000005</v>
      </c>
      <c r="M152" s="164">
        <f>L152+M150</f>
        <v>-34533.700000000004</v>
      </c>
      <c r="N152" s="164">
        <f>M152+N150</f>
        <v>-30723.900000000005</v>
      </c>
      <c r="O152" s="164">
        <f>N152+O150</f>
        <v>-26632.300000000003</v>
      </c>
      <c r="P152" s="161"/>
      <c r="S152" s="107"/>
      <c r="T152" s="107"/>
      <c r="U152" s="107"/>
      <c r="V152" s="107"/>
      <c r="W152" s="107"/>
      <c r="X152" s="107"/>
      <c r="Y152" s="107"/>
      <c r="Z152" s="107"/>
      <c r="AA152" s="107"/>
      <c r="AB152" s="107"/>
      <c r="AC152" s="107"/>
      <c r="AI152" s="107"/>
      <c r="AJ152" s="107"/>
      <c r="AK152" s="107"/>
      <c r="AL152" s="107"/>
      <c r="AM152" s="107"/>
      <c r="AN152" s="107"/>
      <c r="AO152" s="107"/>
      <c r="AP152" s="107"/>
      <c r="AQ152" s="107"/>
      <c r="AR152" s="107"/>
      <c r="AS152" s="107"/>
      <c r="AT152" s="107"/>
      <c r="AU152" s="107"/>
      <c r="AV152" s="107"/>
    </row>
    <row r="153" spans="3:48" s="124" customFormat="1">
      <c r="C153" s="128" t="s">
        <v>700</v>
      </c>
      <c r="D153" s="282">
        <f t="shared" ref="D153:M153" si="260">D152/D55</f>
        <v>2.1421568627450982E-2</v>
      </c>
      <c r="E153" s="282">
        <f t="shared" si="260"/>
        <v>0.16944923857868019</v>
      </c>
      <c r="F153" s="282">
        <f t="shared" si="260"/>
        <v>0.20717235494880545</v>
      </c>
      <c r="G153" s="282">
        <f t="shared" si="260"/>
        <v>0.1872912234042553</v>
      </c>
      <c r="H153" s="282">
        <f t="shared" si="260"/>
        <v>3.7510223953261923E-2</v>
      </c>
      <c r="I153" s="283">
        <f t="shared" si="260"/>
        <v>2.4080344332855087E-2</v>
      </c>
      <c r="J153" s="283">
        <f t="shared" si="260"/>
        <v>-3.6348493150684946E-2</v>
      </c>
      <c r="K153" s="283">
        <f t="shared" si="260"/>
        <v>-6.6584800741427266E-2</v>
      </c>
      <c r="L153" s="283">
        <f t="shared" si="260"/>
        <v>-7.6836363636363661E-2</v>
      </c>
      <c r="M153" s="283">
        <f t="shared" si="260"/>
        <v>-0.12733665191740415</v>
      </c>
      <c r="N153" s="283">
        <f t="shared" ref="N153:O153" si="261">N152/N55</f>
        <v>-0.10856501766784454</v>
      </c>
      <c r="O153" s="283">
        <f t="shared" si="261"/>
        <v>-9.0493713897383629E-2</v>
      </c>
      <c r="S153" s="128"/>
      <c r="T153" s="128"/>
      <c r="U153" s="128"/>
      <c r="V153" s="128"/>
      <c r="W153" s="128"/>
      <c r="X153" s="128"/>
      <c r="Y153" s="128"/>
      <c r="Z153" s="128"/>
      <c r="AA153" s="128"/>
      <c r="AB153" s="128"/>
      <c r="AC153" s="128"/>
      <c r="AI153" s="128"/>
      <c r="AJ153" s="128"/>
      <c r="AK153" s="128"/>
      <c r="AL153" s="128"/>
      <c r="AM153" s="128"/>
      <c r="AN153" s="128"/>
      <c r="AO153" s="128"/>
      <c r="AP153" s="128"/>
      <c r="AQ153" s="128"/>
      <c r="AR153" s="128"/>
      <c r="AS153" s="128"/>
      <c r="AT153" s="128"/>
      <c r="AU153" s="128"/>
      <c r="AV153" s="128"/>
    </row>
    <row r="154" spans="3:48" s="124" customFormat="1">
      <c r="C154" s="108" t="s">
        <v>572</v>
      </c>
      <c r="D154" s="107">
        <f t="shared" ref="D154:I154" si="262">D93-D54</f>
        <v>437</v>
      </c>
      <c r="E154" s="107">
        <f t="shared" si="262"/>
        <v>6239.2999999999993</v>
      </c>
      <c r="F154" s="107">
        <f t="shared" si="262"/>
        <v>5464</v>
      </c>
      <c r="G154" s="107">
        <f t="shared" si="262"/>
        <v>884.1878164556947</v>
      </c>
      <c r="H154" s="107">
        <f t="shared" si="262"/>
        <v>-9625.0673076923049</v>
      </c>
      <c r="I154" s="101">
        <f t="shared" si="262"/>
        <v>-4895.9312295081982</v>
      </c>
      <c r="J154" s="101">
        <f t="shared" ref="J154:O154" si="263">J93-J54</f>
        <v>-12013.142595541402</v>
      </c>
      <c r="K154" s="101">
        <f t="shared" si="263"/>
        <v>-7592.5088998211104</v>
      </c>
      <c r="L154" s="101">
        <f t="shared" si="263"/>
        <v>-4060.9968000000008</v>
      </c>
      <c r="M154" s="101">
        <f t="shared" si="263"/>
        <v>-18725.538</v>
      </c>
      <c r="N154" s="101">
        <f t="shared" si="263"/>
        <v>3809.7999999999993</v>
      </c>
      <c r="O154" s="101">
        <f t="shared" si="263"/>
        <v>4091.6000000000004</v>
      </c>
      <c r="S154" s="107"/>
      <c r="T154" s="128"/>
      <c r="U154" s="128"/>
      <c r="V154" s="128"/>
      <c r="W154" s="128"/>
      <c r="X154" s="128"/>
      <c r="Y154" s="128"/>
      <c r="Z154" s="128"/>
      <c r="AA154" s="128"/>
      <c r="AB154" s="128"/>
      <c r="AC154" s="128"/>
      <c r="AI154" s="107"/>
      <c r="AJ154" s="128"/>
      <c r="AK154" s="128"/>
      <c r="AL154" s="128"/>
      <c r="AM154" s="128"/>
      <c r="AN154" s="128"/>
      <c r="AO154" s="128"/>
      <c r="AP154" s="128"/>
      <c r="AQ154" s="128"/>
      <c r="AR154" s="128"/>
      <c r="AS154" s="128"/>
      <c r="AT154" s="128"/>
      <c r="AU154" s="128"/>
      <c r="AV154" s="128"/>
    </row>
    <row r="155" spans="3:48" s="124" customFormat="1">
      <c r="C155" s="124" t="s">
        <v>573</v>
      </c>
      <c r="D155" s="128">
        <f t="shared" ref="D155:M155" si="264">D154/D54</f>
        <v>2.1421568627450982E-2</v>
      </c>
      <c r="E155" s="128">
        <f t="shared" si="264"/>
        <v>0.32838421052631578</v>
      </c>
      <c r="F155" s="128">
        <f t="shared" si="264"/>
        <v>0.28458333333333335</v>
      </c>
      <c r="G155" s="128">
        <f t="shared" si="264"/>
        <v>5.3264326292511731E-2</v>
      </c>
      <c r="H155" s="128">
        <f t="shared" si="264"/>
        <v>-0.35000244755244747</v>
      </c>
      <c r="I155" s="298">
        <f t="shared" si="264"/>
        <v>-0.13340412069504626</v>
      </c>
      <c r="J155" s="298">
        <f t="shared" si="264"/>
        <v>-0.27872720639307197</v>
      </c>
      <c r="K155" s="298">
        <f t="shared" si="264"/>
        <v>-0.22800327026489822</v>
      </c>
      <c r="L155" s="298">
        <f t="shared" si="264"/>
        <v>-0.15499987786259545</v>
      </c>
      <c r="M155" s="298">
        <f t="shared" si="264"/>
        <v>-0.64128554794520554</v>
      </c>
      <c r="N155" s="298">
        <f t="shared" ref="N155:O155" si="265">N154/N54</f>
        <v>0.32286440677966094</v>
      </c>
      <c r="O155" s="298">
        <f t="shared" si="265"/>
        <v>0.36208849557522127</v>
      </c>
      <c r="S155" s="128"/>
      <c r="T155" s="128"/>
      <c r="U155" s="128"/>
      <c r="V155" s="128"/>
      <c r="W155" s="128"/>
      <c r="X155" s="128"/>
      <c r="Y155" s="128"/>
      <c r="Z155" s="128"/>
      <c r="AA155" s="128"/>
      <c r="AB155" s="128"/>
      <c r="AC155" s="128"/>
      <c r="AI155" s="128"/>
      <c r="AJ155" s="128"/>
      <c r="AK155" s="128"/>
      <c r="AL155" s="128"/>
      <c r="AM155" s="128"/>
      <c r="AN155" s="128"/>
      <c r="AO155" s="128"/>
      <c r="AP155" s="128"/>
      <c r="AQ155" s="128"/>
      <c r="AR155" s="128"/>
      <c r="AS155" s="128"/>
      <c r="AT155" s="128"/>
      <c r="AU155" s="128"/>
      <c r="AV155" s="128"/>
    </row>
    <row r="156" spans="3:48" s="124" customFormat="1">
      <c r="C156" s="108" t="s">
        <v>701</v>
      </c>
      <c r="D156" s="107">
        <f>D154</f>
        <v>437</v>
      </c>
      <c r="E156" s="107">
        <f t="shared" ref="E156:J156" si="266">D156+E154</f>
        <v>6676.2999999999993</v>
      </c>
      <c r="F156" s="107">
        <f t="shared" si="266"/>
        <v>12140.3</v>
      </c>
      <c r="G156" s="107">
        <f t="shared" si="266"/>
        <v>13024.487816455694</v>
      </c>
      <c r="H156" s="107">
        <f t="shared" si="266"/>
        <v>3399.4205087633891</v>
      </c>
      <c r="I156" s="101">
        <f t="shared" si="266"/>
        <v>-1496.5107207448091</v>
      </c>
      <c r="J156" s="101">
        <f t="shared" si="266"/>
        <v>-13509.653316286211</v>
      </c>
      <c r="K156" s="101">
        <f>J156+K154</f>
        <v>-21102.162216107321</v>
      </c>
      <c r="L156" s="101">
        <f>K156+L154</f>
        <v>-25163.159016107322</v>
      </c>
      <c r="M156" s="101">
        <f>L156+M154</f>
        <v>-43888.697016107326</v>
      </c>
      <c r="N156" s="101">
        <f>M156+N154</f>
        <v>-40078.897016107323</v>
      </c>
      <c r="O156" s="101">
        <f>N156+O154</f>
        <v>-35987.297016107324</v>
      </c>
      <c r="S156" s="107"/>
      <c r="T156" s="128"/>
      <c r="U156" s="128"/>
      <c r="V156" s="128"/>
      <c r="W156" s="128"/>
      <c r="X156" s="128"/>
      <c r="Y156" s="128"/>
      <c r="Z156" s="128"/>
      <c r="AA156" s="128"/>
      <c r="AB156" s="128"/>
      <c r="AC156" s="128"/>
      <c r="AI156" s="107"/>
      <c r="AJ156" s="128"/>
      <c r="AK156" s="128"/>
      <c r="AL156" s="128"/>
      <c r="AM156" s="128"/>
      <c r="AN156" s="128"/>
      <c r="AO156" s="128"/>
      <c r="AP156" s="128"/>
      <c r="AQ156" s="128"/>
      <c r="AR156" s="128"/>
      <c r="AS156" s="128"/>
      <c r="AT156" s="128"/>
      <c r="AU156" s="128"/>
      <c r="AV156" s="128"/>
    </row>
    <row r="157" spans="3:48" s="124" customFormat="1">
      <c r="C157" s="128" t="s">
        <v>702</v>
      </c>
      <c r="D157" s="282">
        <f t="shared" ref="D157:M157" si="267">D156/D55</f>
        <v>2.1421568627450982E-2</v>
      </c>
      <c r="E157" s="282">
        <f t="shared" si="267"/>
        <v>0.16944923857868019</v>
      </c>
      <c r="F157" s="282">
        <f t="shared" si="267"/>
        <v>0.20717235494880545</v>
      </c>
      <c r="G157" s="282">
        <f t="shared" si="267"/>
        <v>0.17319797628265551</v>
      </c>
      <c r="H157" s="282">
        <f t="shared" si="267"/>
        <v>3.3100491808796387E-2</v>
      </c>
      <c r="I157" s="283">
        <f t="shared" si="267"/>
        <v>-1.0735371023994326E-2</v>
      </c>
      <c r="J157" s="283">
        <f t="shared" si="267"/>
        <v>-7.4025497623486092E-2</v>
      </c>
      <c r="K157" s="283">
        <f t="shared" si="267"/>
        <v>-9.7785737794751262E-2</v>
      </c>
      <c r="L157" s="283">
        <f t="shared" si="267"/>
        <v>-0.10397999593432777</v>
      </c>
      <c r="M157" s="283">
        <f t="shared" si="267"/>
        <v>-0.1618314786729621</v>
      </c>
      <c r="N157" s="283">
        <f t="shared" ref="N157:O157" si="268">N156/N55</f>
        <v>-0.14162154422652765</v>
      </c>
      <c r="O157" s="283">
        <f t="shared" si="268"/>
        <v>-0.12228099563746968</v>
      </c>
      <c r="S157" s="128"/>
      <c r="T157" s="128"/>
      <c r="U157" s="128"/>
      <c r="V157" s="128"/>
      <c r="W157" s="128"/>
      <c r="X157" s="128"/>
      <c r="Y157" s="128"/>
      <c r="Z157" s="128"/>
      <c r="AA157" s="128"/>
      <c r="AB157" s="128"/>
      <c r="AC157" s="128"/>
      <c r="AI157" s="128"/>
      <c r="AJ157" s="128"/>
      <c r="AK157" s="128"/>
      <c r="AL157" s="128"/>
      <c r="AM157" s="128"/>
      <c r="AN157" s="128"/>
      <c r="AO157" s="128"/>
      <c r="AP157" s="128"/>
      <c r="AQ157" s="128"/>
      <c r="AR157" s="128"/>
      <c r="AS157" s="128"/>
      <c r="AT157" s="128"/>
      <c r="AU157" s="128"/>
      <c r="AV157" s="128"/>
    </row>
    <row r="158" spans="3:48" s="108" customFormat="1">
      <c r="C158" s="108" t="s">
        <v>420</v>
      </c>
      <c r="D158" s="108">
        <f t="shared" ref="D158:I158" si="269">D95-D58</f>
        <v>499</v>
      </c>
      <c r="E158" s="108">
        <f t="shared" si="269"/>
        <v>8707</v>
      </c>
      <c r="F158" s="108">
        <f t="shared" si="269"/>
        <v>45720</v>
      </c>
      <c r="G158" s="108">
        <f t="shared" si="269"/>
        <v>-25779</v>
      </c>
      <c r="H158" s="108">
        <f t="shared" si="269"/>
        <v>31905.799999999988</v>
      </c>
      <c r="I158" s="164">
        <f t="shared" si="269"/>
        <v>48332.099999999977</v>
      </c>
      <c r="J158" s="164">
        <f t="shared" ref="J158:O158" si="270">J95-J58</f>
        <v>71637.400000000023</v>
      </c>
      <c r="K158" s="164">
        <f t="shared" si="270"/>
        <v>26869.700000000012</v>
      </c>
      <c r="L158" s="164">
        <f t="shared" si="270"/>
        <v>22116.599999999977</v>
      </c>
      <c r="M158" s="164">
        <f t="shared" si="270"/>
        <v>55843.299999999988</v>
      </c>
      <c r="N158" s="164">
        <f t="shared" si="270"/>
        <v>5450.7999999999884</v>
      </c>
      <c r="O158" s="164">
        <f t="shared" si="270"/>
        <v>11299.399999999994</v>
      </c>
      <c r="P158" s="161"/>
      <c r="S158" s="107"/>
      <c r="T158" s="107"/>
      <c r="U158" s="107"/>
      <c r="V158" s="107"/>
      <c r="W158" s="107"/>
      <c r="X158" s="107"/>
      <c r="Y158" s="107"/>
      <c r="Z158" s="107"/>
      <c r="AA158" s="107"/>
      <c r="AB158" s="107"/>
      <c r="AC158" s="107"/>
      <c r="AI158" s="107"/>
      <c r="AJ158" s="107"/>
      <c r="AK158" s="107"/>
      <c r="AL158" s="107"/>
      <c r="AM158" s="107"/>
      <c r="AN158" s="107"/>
      <c r="AO158" s="107"/>
      <c r="AP158" s="107"/>
      <c r="AQ158" s="107"/>
      <c r="AR158" s="107"/>
      <c r="AS158" s="107"/>
      <c r="AT158" s="107"/>
      <c r="AU158" s="107"/>
      <c r="AV158" s="107"/>
    </row>
    <row r="159" spans="3:48" s="124" customFormat="1">
      <c r="C159" s="124" t="s">
        <v>421</v>
      </c>
      <c r="D159" s="124">
        <f t="shared" ref="D159:M159" si="271">D158/D58</f>
        <v>2.4949999999999998E-3</v>
      </c>
      <c r="E159" s="124">
        <f t="shared" si="271"/>
        <v>4.4651282051282049E-2</v>
      </c>
      <c r="F159" s="124">
        <f t="shared" si="271"/>
        <v>0.25757746478873239</v>
      </c>
      <c r="G159" s="124">
        <f t="shared" si="271"/>
        <v>-9.2067857142857146E-2</v>
      </c>
      <c r="H159" s="124">
        <f t="shared" si="271"/>
        <v>0.11394928571428567</v>
      </c>
      <c r="I159" s="165">
        <f t="shared" si="271"/>
        <v>0.14427492537313427</v>
      </c>
      <c r="J159" s="165">
        <f t="shared" si="271"/>
        <v>0.21069823529411771</v>
      </c>
      <c r="K159" s="165">
        <f t="shared" si="271"/>
        <v>8.956566666666671E-2</v>
      </c>
      <c r="L159" s="165">
        <f t="shared" si="271"/>
        <v>8.0423999999999912E-2</v>
      </c>
      <c r="M159" s="165">
        <f t="shared" si="271"/>
        <v>0.21478192307692304</v>
      </c>
      <c r="N159" s="165">
        <f t="shared" ref="N159:O159" si="272">N158/N58</f>
        <v>2.4776363636363583E-2</v>
      </c>
      <c r="O159" s="165">
        <f t="shared" si="272"/>
        <v>5.809460154241642E-2</v>
      </c>
      <c r="S159" s="128"/>
      <c r="T159" s="128"/>
      <c r="U159" s="128"/>
      <c r="V159" s="128"/>
      <c r="W159" s="128"/>
      <c r="X159" s="128"/>
      <c r="Y159" s="128"/>
      <c r="Z159" s="128"/>
      <c r="AA159" s="128"/>
      <c r="AB159" s="128"/>
      <c r="AC159" s="128"/>
      <c r="AI159" s="128"/>
      <c r="AJ159" s="128"/>
      <c r="AK159" s="128"/>
      <c r="AL159" s="128"/>
      <c r="AM159" s="128"/>
      <c r="AN159" s="128"/>
      <c r="AO159" s="128"/>
      <c r="AP159" s="128"/>
      <c r="AQ159" s="128"/>
      <c r="AR159" s="128"/>
      <c r="AS159" s="128"/>
      <c r="AT159" s="128"/>
      <c r="AU159" s="128"/>
      <c r="AV159" s="128"/>
    </row>
    <row r="160" spans="3:48" s="108" customFormat="1">
      <c r="C160" s="108" t="s">
        <v>703</v>
      </c>
      <c r="D160" s="108">
        <f>D158</f>
        <v>499</v>
      </c>
      <c r="E160" s="108">
        <f t="shared" ref="E160:J160" si="273">D160+E158</f>
        <v>9206</v>
      </c>
      <c r="F160" s="108">
        <f t="shared" si="273"/>
        <v>54926</v>
      </c>
      <c r="G160" s="108">
        <f t="shared" si="273"/>
        <v>29147</v>
      </c>
      <c r="H160" s="108">
        <f t="shared" si="273"/>
        <v>61052.799999999988</v>
      </c>
      <c r="I160" s="164">
        <f t="shared" si="273"/>
        <v>109384.89999999997</v>
      </c>
      <c r="J160" s="164">
        <f t="shared" si="273"/>
        <v>181022.3</v>
      </c>
      <c r="K160" s="164">
        <f>J160+K158</f>
        <v>207892</v>
      </c>
      <c r="L160" s="164">
        <f>K160+L158</f>
        <v>230008.59999999998</v>
      </c>
      <c r="M160" s="164">
        <f>L160+M158</f>
        <v>285851.89999999997</v>
      </c>
      <c r="N160" s="164">
        <f>M160+N158</f>
        <v>291302.69999999995</v>
      </c>
      <c r="O160" s="164">
        <f>N160+O158</f>
        <v>302602.09999999998</v>
      </c>
      <c r="P160" s="161"/>
      <c r="S160" s="107"/>
      <c r="T160" s="107"/>
      <c r="U160" s="107"/>
      <c r="V160" s="107"/>
      <c r="W160" s="107"/>
      <c r="X160" s="107"/>
      <c r="Y160" s="107"/>
      <c r="Z160" s="107"/>
      <c r="AA160" s="107"/>
      <c r="AB160" s="107"/>
      <c r="AC160" s="107"/>
      <c r="AI160" s="107"/>
      <c r="AJ160" s="107"/>
      <c r="AK160" s="107"/>
      <c r="AL160" s="107"/>
      <c r="AM160" s="107"/>
      <c r="AN160" s="107"/>
      <c r="AO160" s="107"/>
      <c r="AP160" s="107"/>
      <c r="AQ160" s="107"/>
      <c r="AR160" s="107"/>
      <c r="AS160" s="107"/>
      <c r="AT160" s="107"/>
      <c r="AU160" s="107"/>
      <c r="AV160" s="107"/>
    </row>
    <row r="161" spans="3:48" s="124" customFormat="1">
      <c r="C161" s="128" t="s">
        <v>704</v>
      </c>
      <c r="D161" s="282">
        <f t="shared" ref="D161:M161" si="274">D160/D59</f>
        <v>2.4949999999999998E-3</v>
      </c>
      <c r="E161" s="282">
        <f t="shared" si="274"/>
        <v>2.3306329113924051E-2</v>
      </c>
      <c r="F161" s="282">
        <f t="shared" si="274"/>
        <v>9.5940611353711791E-2</v>
      </c>
      <c r="G161" s="282">
        <f t="shared" si="274"/>
        <v>3.4190029325513197E-2</v>
      </c>
      <c r="H161" s="282">
        <f t="shared" si="274"/>
        <v>5.3909757174392926E-2</v>
      </c>
      <c r="I161" s="283">
        <f t="shared" si="274"/>
        <v>7.453826235093694E-2</v>
      </c>
      <c r="J161" s="283">
        <f t="shared" si="274"/>
        <v>0.10015065006915629</v>
      </c>
      <c r="K161" s="283">
        <f t="shared" si="274"/>
        <v>9.8643890865954917E-2</v>
      </c>
      <c r="L161" s="283">
        <f t="shared" si="274"/>
        <v>9.6540860440713527E-2</v>
      </c>
      <c r="M161" s="283">
        <f t="shared" si="274"/>
        <v>0.10817479659413433</v>
      </c>
      <c r="N161" s="283">
        <f t="shared" ref="N161:O161" si="275">N160/N59</f>
        <v>0.10176513537117902</v>
      </c>
      <c r="O161" s="283">
        <f t="shared" si="275"/>
        <v>9.8986620870134115E-2</v>
      </c>
      <c r="S161" s="128"/>
      <c r="T161" s="128"/>
      <c r="U161" s="128"/>
      <c r="V161" s="128"/>
      <c r="W161" s="128"/>
      <c r="X161" s="128"/>
      <c r="Y161" s="128"/>
      <c r="Z161" s="128"/>
      <c r="AA161" s="128"/>
      <c r="AB161" s="128"/>
      <c r="AC161" s="128"/>
      <c r="AI161" s="128"/>
      <c r="AJ161" s="128"/>
      <c r="AK161" s="128"/>
      <c r="AL161" s="128"/>
      <c r="AM161" s="128"/>
      <c r="AN161" s="128"/>
      <c r="AO161" s="128"/>
      <c r="AP161" s="128"/>
      <c r="AQ161" s="128"/>
      <c r="AR161" s="128"/>
      <c r="AS161" s="128"/>
      <c r="AT161" s="128"/>
      <c r="AU161" s="128"/>
      <c r="AV161" s="128"/>
    </row>
    <row r="162" spans="3:48" s="124" customFormat="1">
      <c r="C162" s="108" t="s">
        <v>539</v>
      </c>
      <c r="D162" s="107">
        <f t="shared" ref="D162:I162" si="276">D97-D58</f>
        <v>499</v>
      </c>
      <c r="E162" s="107">
        <f t="shared" si="276"/>
        <v>8707</v>
      </c>
      <c r="F162" s="107">
        <f t="shared" si="276"/>
        <v>45720</v>
      </c>
      <c r="G162" s="107">
        <f t="shared" si="276"/>
        <v>-16292.43829113926</v>
      </c>
      <c r="H162" s="107">
        <f t="shared" si="276"/>
        <v>22024.665384615364</v>
      </c>
      <c r="I162" s="101">
        <f t="shared" si="276"/>
        <v>-12384.572151639382</v>
      </c>
      <c r="J162" s="101">
        <f t="shared" ref="J162:O162" si="277">J97-J58</f>
        <v>28655.494235668797</v>
      </c>
      <c r="K162" s="101">
        <f t="shared" si="277"/>
        <v>35346.515608228976</v>
      </c>
      <c r="L162" s="101">
        <f t="shared" si="277"/>
        <v>13108.000959999976</v>
      </c>
      <c r="M162" s="101">
        <f t="shared" si="277"/>
        <v>84652.650999999954</v>
      </c>
      <c r="N162" s="101">
        <f t="shared" si="277"/>
        <v>5450.7999999999884</v>
      </c>
      <c r="O162" s="101">
        <f t="shared" si="277"/>
        <v>11299.399999999994</v>
      </c>
      <c r="S162" s="107"/>
      <c r="T162" s="128"/>
      <c r="U162" s="128"/>
      <c r="V162" s="128"/>
      <c r="W162" s="128"/>
      <c r="X162" s="128"/>
      <c r="Y162" s="128"/>
      <c r="Z162" s="128"/>
      <c r="AA162" s="128"/>
      <c r="AB162" s="128"/>
      <c r="AC162" s="128"/>
      <c r="AI162" s="107"/>
      <c r="AJ162" s="128"/>
      <c r="AK162" s="128"/>
      <c r="AL162" s="128"/>
      <c r="AM162" s="128"/>
      <c r="AN162" s="128"/>
      <c r="AO162" s="128"/>
      <c r="AP162" s="128"/>
      <c r="AQ162" s="128"/>
      <c r="AR162" s="128"/>
      <c r="AS162" s="128"/>
      <c r="AT162" s="128"/>
      <c r="AU162" s="128"/>
      <c r="AV162" s="128"/>
    </row>
    <row r="163" spans="3:48" s="124" customFormat="1">
      <c r="C163" s="124" t="s">
        <v>540</v>
      </c>
      <c r="D163" s="128">
        <f t="shared" ref="D163:M163" si="278">D162/D58</f>
        <v>2.4949999999999998E-3</v>
      </c>
      <c r="E163" s="128">
        <f t="shared" si="278"/>
        <v>4.4651282051282049E-2</v>
      </c>
      <c r="F163" s="128">
        <f t="shared" si="278"/>
        <v>0.25757746478873239</v>
      </c>
      <c r="G163" s="128">
        <f t="shared" si="278"/>
        <v>-5.8187279611211645E-2</v>
      </c>
      <c r="H163" s="128">
        <f t="shared" si="278"/>
        <v>7.8659519230769151E-2</v>
      </c>
      <c r="I163" s="298">
        <f t="shared" si="278"/>
        <v>-3.6968872094445916E-2</v>
      </c>
      <c r="J163" s="298">
        <f t="shared" si="278"/>
        <v>8.4280865399025878E-2</v>
      </c>
      <c r="K163" s="298">
        <f t="shared" si="278"/>
        <v>0.11782171869409659</v>
      </c>
      <c r="L163" s="298">
        <f t="shared" si="278"/>
        <v>4.7665458036363545E-2</v>
      </c>
      <c r="M163" s="298">
        <f t="shared" si="278"/>
        <v>0.32558711923076905</v>
      </c>
      <c r="N163" s="298">
        <f t="shared" ref="N163:O163" si="279">N162/N58</f>
        <v>2.4776363636363583E-2</v>
      </c>
      <c r="O163" s="298">
        <f t="shared" si="279"/>
        <v>5.809460154241642E-2</v>
      </c>
      <c r="S163" s="128"/>
      <c r="T163" s="128"/>
      <c r="U163" s="128"/>
      <c r="V163" s="128"/>
      <c r="W163" s="128"/>
      <c r="X163" s="128"/>
      <c r="Y163" s="128"/>
      <c r="Z163" s="128"/>
      <c r="AA163" s="128"/>
      <c r="AB163" s="128"/>
      <c r="AC163" s="128"/>
      <c r="AI163" s="128"/>
      <c r="AJ163" s="128"/>
      <c r="AK163" s="128"/>
      <c r="AL163" s="128"/>
      <c r="AM163" s="128"/>
      <c r="AN163" s="128"/>
      <c r="AO163" s="128"/>
      <c r="AP163" s="128"/>
      <c r="AQ163" s="128"/>
      <c r="AR163" s="128"/>
      <c r="AS163" s="128"/>
      <c r="AT163" s="128"/>
      <c r="AU163" s="128"/>
      <c r="AV163" s="128"/>
    </row>
    <row r="164" spans="3:48" s="124" customFormat="1">
      <c r="C164" s="108" t="s">
        <v>705</v>
      </c>
      <c r="D164" s="107">
        <f>D162</f>
        <v>499</v>
      </c>
      <c r="E164" s="107">
        <f t="shared" ref="E164:J164" si="280">D164+E162</f>
        <v>9206</v>
      </c>
      <c r="F164" s="107">
        <f t="shared" si="280"/>
        <v>54926</v>
      </c>
      <c r="G164" s="107">
        <f t="shared" si="280"/>
        <v>38633.56170886074</v>
      </c>
      <c r="H164" s="107">
        <f t="shared" si="280"/>
        <v>60658.227093476104</v>
      </c>
      <c r="I164" s="101">
        <f t="shared" si="280"/>
        <v>48273.654941836721</v>
      </c>
      <c r="J164" s="101">
        <f t="shared" si="280"/>
        <v>76929.149177505518</v>
      </c>
      <c r="K164" s="101">
        <f>J164+K162</f>
        <v>112275.66478573449</v>
      </c>
      <c r="L164" s="101">
        <f>K164+L162</f>
        <v>125383.66574573447</v>
      </c>
      <c r="M164" s="101">
        <f>L164+M162</f>
        <v>210036.31674573442</v>
      </c>
      <c r="N164" s="101">
        <f>M164+N162</f>
        <v>215487.11674573441</v>
      </c>
      <c r="O164" s="101">
        <f>N164+O162</f>
        <v>226786.51674573441</v>
      </c>
      <c r="S164" s="107"/>
      <c r="T164" s="128"/>
      <c r="U164" s="128"/>
      <c r="V164" s="128"/>
      <c r="W164" s="128"/>
      <c r="X164" s="128"/>
      <c r="Y164" s="128"/>
      <c r="Z164" s="128"/>
      <c r="AA164" s="128"/>
      <c r="AB164" s="128"/>
      <c r="AC164" s="128"/>
      <c r="AI164" s="107"/>
      <c r="AJ164" s="128"/>
      <c r="AK164" s="128"/>
      <c r="AL164" s="128"/>
      <c r="AM164" s="128"/>
      <c r="AN164" s="128"/>
      <c r="AO164" s="128"/>
      <c r="AP164" s="128"/>
      <c r="AQ164" s="128"/>
      <c r="AR164" s="128"/>
      <c r="AS164" s="128"/>
      <c r="AT164" s="128"/>
      <c r="AU164" s="128"/>
      <c r="AV164" s="128"/>
    </row>
    <row r="165" spans="3:48" s="124" customFormat="1">
      <c r="C165" s="128" t="s">
        <v>706</v>
      </c>
      <c r="D165" s="282">
        <f t="shared" ref="D165:M165" si="281">D164/D59</f>
        <v>2.4949999999999998E-3</v>
      </c>
      <c r="E165" s="282">
        <f t="shared" si="281"/>
        <v>2.3306329113924051E-2</v>
      </c>
      <c r="F165" s="282">
        <f t="shared" si="281"/>
        <v>9.5940611353711791E-2</v>
      </c>
      <c r="G165" s="282">
        <f t="shared" si="281"/>
        <v>4.531796094881025E-2</v>
      </c>
      <c r="H165" s="282">
        <f t="shared" si="281"/>
        <v>5.3561348426910467E-2</v>
      </c>
      <c r="I165" s="283">
        <f t="shared" si="281"/>
        <v>3.2895165207384475E-2</v>
      </c>
      <c r="J165" s="283">
        <f t="shared" si="281"/>
        <v>4.256107838312892E-2</v>
      </c>
      <c r="K165" s="283">
        <f t="shared" si="281"/>
        <v>5.3274336790384104E-2</v>
      </c>
      <c r="L165" s="283">
        <f t="shared" si="281"/>
        <v>5.2626932107338709E-2</v>
      </c>
      <c r="M165" s="283">
        <f t="shared" si="281"/>
        <v>7.9483942004062225E-2</v>
      </c>
      <c r="N165" s="283">
        <f t="shared" ref="N165:O165" si="282">N164/N59</f>
        <v>7.5279342094579704E-2</v>
      </c>
      <c r="O165" s="283">
        <f t="shared" si="282"/>
        <v>7.4185972111787513E-2</v>
      </c>
      <c r="S165" s="128"/>
      <c r="T165" s="128"/>
      <c r="U165" s="128"/>
      <c r="V165" s="128"/>
      <c r="W165" s="128"/>
      <c r="X165" s="128"/>
      <c r="Y165" s="128"/>
      <c r="Z165" s="128"/>
      <c r="AA165" s="128"/>
      <c r="AB165" s="128"/>
      <c r="AC165" s="128"/>
      <c r="AI165" s="128"/>
      <c r="AJ165" s="128"/>
      <c r="AK165" s="128"/>
      <c r="AL165" s="128"/>
      <c r="AM165" s="128"/>
      <c r="AN165" s="128"/>
      <c r="AO165" s="128"/>
      <c r="AP165" s="128"/>
      <c r="AQ165" s="128"/>
      <c r="AR165" s="128"/>
      <c r="AS165" s="128"/>
      <c r="AT165" s="128"/>
      <c r="AU165" s="128"/>
      <c r="AV165" s="128"/>
    </row>
    <row r="166" spans="3:48" s="108" customFormat="1">
      <c r="C166" s="281" t="s">
        <v>422</v>
      </c>
      <c r="D166" s="108">
        <f t="shared" ref="D166:I166" si="283">D99-D62</f>
        <v>936</v>
      </c>
      <c r="E166" s="108">
        <f t="shared" si="283"/>
        <v>14946.299999999988</v>
      </c>
      <c r="F166" s="108">
        <f t="shared" si="283"/>
        <v>51184</v>
      </c>
      <c r="G166" s="108">
        <f t="shared" si="283"/>
        <v>-23835</v>
      </c>
      <c r="H166" s="108">
        <f t="shared" si="283"/>
        <v>21673.799999999988</v>
      </c>
      <c r="I166" s="164">
        <f t="shared" si="283"/>
        <v>47836.599999999977</v>
      </c>
      <c r="J166" s="164">
        <f t="shared" ref="J166:O166" si="284">J99-J62</f>
        <v>61647</v>
      </c>
      <c r="K166" s="164">
        <f t="shared" si="284"/>
        <v>19134.299999999988</v>
      </c>
      <c r="L166" s="164">
        <f t="shared" si="284"/>
        <v>17891.199999999953</v>
      </c>
      <c r="M166" s="164">
        <f t="shared" si="284"/>
        <v>39904</v>
      </c>
      <c r="N166" s="164">
        <f t="shared" si="284"/>
        <v>9260.5999999999767</v>
      </c>
      <c r="O166" s="164">
        <f t="shared" si="284"/>
        <v>15391</v>
      </c>
      <c r="P166" s="161"/>
      <c r="S166" s="107"/>
      <c r="T166" s="107"/>
      <c r="U166" s="107"/>
      <c r="V166" s="107"/>
      <c r="W166" s="107"/>
      <c r="X166" s="107"/>
      <c r="Y166" s="107"/>
      <c r="Z166" s="107"/>
      <c r="AA166" s="107"/>
      <c r="AB166" s="107"/>
      <c r="AC166" s="107"/>
      <c r="AI166" s="107"/>
      <c r="AJ166" s="107"/>
      <c r="AK166" s="107"/>
      <c r="AL166" s="107"/>
      <c r="AM166" s="107"/>
      <c r="AN166" s="107"/>
      <c r="AO166" s="107"/>
      <c r="AP166" s="107"/>
      <c r="AQ166" s="107"/>
      <c r="AR166" s="107"/>
      <c r="AS166" s="107"/>
      <c r="AT166" s="107"/>
      <c r="AU166" s="107"/>
      <c r="AV166" s="107"/>
    </row>
    <row r="167" spans="3:48" s="124" customFormat="1">
      <c r="C167" s="282" t="s">
        <v>423</v>
      </c>
      <c r="D167" s="124">
        <f t="shared" ref="D167:M167" si="285">D166/D62</f>
        <v>4.2468239564428314E-3</v>
      </c>
      <c r="E167" s="124">
        <f t="shared" si="285"/>
        <v>6.9842523364485931E-2</v>
      </c>
      <c r="F167" s="124">
        <f t="shared" si="285"/>
        <v>0.26021352313167262</v>
      </c>
      <c r="G167" s="124">
        <f t="shared" si="285"/>
        <v>-8.0360755225893463E-2</v>
      </c>
      <c r="H167" s="124">
        <f t="shared" si="285"/>
        <v>7.0483902439024346E-2</v>
      </c>
      <c r="I167" s="165">
        <f t="shared" si="285"/>
        <v>0.12869679849340859</v>
      </c>
      <c r="J167" s="165">
        <f t="shared" si="285"/>
        <v>0.16091620986687549</v>
      </c>
      <c r="K167" s="165">
        <f t="shared" si="285"/>
        <v>5.7408640864086376E-2</v>
      </c>
      <c r="L167" s="165">
        <f t="shared" si="285"/>
        <v>5.9399734395750178E-2</v>
      </c>
      <c r="M167" s="165">
        <f t="shared" si="285"/>
        <v>0.13798063623789764</v>
      </c>
      <c r="N167" s="165">
        <f t="shared" ref="N167:O167" si="286">N166/N62</f>
        <v>3.9950819672131044E-2</v>
      </c>
      <c r="O167" s="165">
        <f t="shared" si="286"/>
        <v>7.4786200194363453E-2</v>
      </c>
      <c r="S167" s="128"/>
      <c r="T167" s="128"/>
      <c r="U167" s="128"/>
      <c r="V167" s="128"/>
      <c r="W167" s="128"/>
      <c r="X167" s="128"/>
      <c r="Y167" s="128"/>
      <c r="Z167" s="128"/>
      <c r="AA167" s="128"/>
      <c r="AB167" s="128"/>
      <c r="AC167" s="128"/>
      <c r="AI167" s="128"/>
      <c r="AJ167" s="128"/>
      <c r="AK167" s="128"/>
      <c r="AL167" s="128"/>
      <c r="AM167" s="128"/>
      <c r="AN167" s="128"/>
      <c r="AO167" s="128"/>
      <c r="AP167" s="128"/>
      <c r="AQ167" s="128"/>
      <c r="AR167" s="128"/>
      <c r="AS167" s="128"/>
      <c r="AT167" s="128"/>
      <c r="AU167" s="128"/>
      <c r="AV167" s="128"/>
    </row>
    <row r="168" spans="3:48" s="108" customFormat="1">
      <c r="C168" s="281" t="s">
        <v>707</v>
      </c>
      <c r="D168" s="108">
        <f>D166</f>
        <v>936</v>
      </c>
      <c r="E168" s="108">
        <f t="shared" ref="E168:J168" si="287">D168+E166</f>
        <v>15882.299999999988</v>
      </c>
      <c r="F168" s="108">
        <f t="shared" si="287"/>
        <v>67066.299999999988</v>
      </c>
      <c r="G168" s="108">
        <f t="shared" si="287"/>
        <v>43231.299999999988</v>
      </c>
      <c r="H168" s="108">
        <f t="shared" si="287"/>
        <v>64905.099999999977</v>
      </c>
      <c r="I168" s="164">
        <f t="shared" si="287"/>
        <v>112741.69999999995</v>
      </c>
      <c r="J168" s="164">
        <f t="shared" si="287"/>
        <v>174388.69999999995</v>
      </c>
      <c r="K168" s="164">
        <f>J168+K166</f>
        <v>193522.99999999994</v>
      </c>
      <c r="L168" s="164">
        <f>K168+L166</f>
        <v>211414.1999999999</v>
      </c>
      <c r="M168" s="164">
        <f>L168+M166</f>
        <v>251318.1999999999</v>
      </c>
      <c r="N168" s="164">
        <f>M168+N166</f>
        <v>260578.79999999987</v>
      </c>
      <c r="O168" s="164">
        <f>N168+O166</f>
        <v>275969.79999999987</v>
      </c>
      <c r="P168" s="161"/>
      <c r="S168" s="107"/>
      <c r="T168" s="107"/>
      <c r="U168" s="107"/>
      <c r="V168" s="107"/>
      <c r="W168" s="107"/>
      <c r="X168" s="107"/>
      <c r="Y168" s="107"/>
      <c r="Z168" s="107"/>
      <c r="AA168" s="107"/>
      <c r="AB168" s="107"/>
      <c r="AC168" s="107"/>
      <c r="AI168" s="107"/>
      <c r="AJ168" s="107"/>
      <c r="AK168" s="107"/>
      <c r="AL168" s="107"/>
      <c r="AM168" s="107"/>
      <c r="AN168" s="107"/>
      <c r="AO168" s="107"/>
      <c r="AP168" s="107"/>
      <c r="AQ168" s="107"/>
      <c r="AR168" s="107"/>
      <c r="AS168" s="107"/>
      <c r="AT168" s="107"/>
      <c r="AU168" s="107"/>
      <c r="AV168" s="107"/>
    </row>
    <row r="169" spans="3:48" s="124" customFormat="1">
      <c r="C169" s="282" t="s">
        <v>708</v>
      </c>
      <c r="D169" s="282">
        <f t="shared" ref="D169:M169" si="288">D168/D63</f>
        <v>4.2468239564428314E-3</v>
      </c>
      <c r="E169" s="282">
        <f t="shared" si="288"/>
        <v>3.6561464088397763E-2</v>
      </c>
      <c r="F169" s="282">
        <f t="shared" si="288"/>
        <v>0.1062688955791475</v>
      </c>
      <c r="G169" s="282">
        <f t="shared" si="288"/>
        <v>4.6600517408645022E-2</v>
      </c>
      <c r="H169" s="283">
        <f t="shared" si="288"/>
        <v>5.2546227331606202E-2</v>
      </c>
      <c r="I169" s="283">
        <f t="shared" si="288"/>
        <v>7.0160993216752732E-2</v>
      </c>
      <c r="J169" s="283">
        <f t="shared" si="288"/>
        <v>8.7632512562814041E-2</v>
      </c>
      <c r="K169" s="283">
        <f t="shared" si="288"/>
        <v>8.329660396849306E-2</v>
      </c>
      <c r="L169" s="283">
        <f t="shared" si="288"/>
        <v>8.0554086492665225E-2</v>
      </c>
      <c r="M169" s="283">
        <f t="shared" si="288"/>
        <v>8.6253972612142599E-2</v>
      </c>
      <c r="N169" s="283">
        <f t="shared" ref="N169:O169" si="289">N168/N63</f>
        <v>8.2841773962803969E-2</v>
      </c>
      <c r="O169" s="335">
        <f t="shared" si="289"/>
        <v>8.2347089189269793E-2</v>
      </c>
      <c r="S169" s="128"/>
      <c r="T169" s="128"/>
      <c r="U169" s="128"/>
      <c r="V169" s="128"/>
      <c r="W169" s="128"/>
      <c r="X169" s="128"/>
      <c r="Y169" s="128"/>
      <c r="Z169" s="128"/>
      <c r="AA169" s="128"/>
      <c r="AB169" s="128"/>
      <c r="AC169" s="128"/>
      <c r="AI169" s="128"/>
      <c r="AJ169" s="128"/>
      <c r="AK169" s="128"/>
      <c r="AL169" s="128"/>
      <c r="AM169" s="128"/>
      <c r="AN169" s="128"/>
      <c r="AO169" s="128"/>
      <c r="AP169" s="128"/>
      <c r="AQ169" s="128"/>
      <c r="AR169" s="128"/>
      <c r="AS169" s="128"/>
      <c r="AT169" s="128"/>
      <c r="AU169" s="128"/>
      <c r="AV169" s="128"/>
    </row>
    <row r="170" spans="3:48" s="124" customFormat="1">
      <c r="C170" s="281" t="s">
        <v>541</v>
      </c>
      <c r="D170" s="107">
        <f t="shared" ref="D170:I170" si="290">D101-D62</f>
        <v>936</v>
      </c>
      <c r="E170" s="107">
        <f t="shared" si="290"/>
        <v>14946.299999999988</v>
      </c>
      <c r="F170" s="107">
        <f t="shared" si="290"/>
        <v>51184</v>
      </c>
      <c r="G170" s="107">
        <f t="shared" si="290"/>
        <v>-15408.250474683591</v>
      </c>
      <c r="H170" s="107">
        <f t="shared" si="290"/>
        <v>12399.598076923052</v>
      </c>
      <c r="I170" s="101">
        <f t="shared" si="290"/>
        <v>-17280.503381147573</v>
      </c>
      <c r="J170" s="101">
        <f t="shared" ref="J170:O170" si="291">J101-J62</f>
        <v>16642.351640127366</v>
      </c>
      <c r="K170" s="101">
        <f t="shared" si="291"/>
        <v>27754.006708407891</v>
      </c>
      <c r="L170" s="101">
        <f t="shared" si="291"/>
        <v>9047.0041599999531</v>
      </c>
      <c r="M170" s="101">
        <f t="shared" si="291"/>
        <v>65927.112999999954</v>
      </c>
      <c r="N170" s="101">
        <f t="shared" si="291"/>
        <v>9260.5999999999767</v>
      </c>
      <c r="O170" s="101">
        <f t="shared" si="291"/>
        <v>15391</v>
      </c>
      <c r="S170" s="107"/>
      <c r="T170" s="128"/>
      <c r="U170" s="128"/>
      <c r="V170" s="128"/>
      <c r="W170" s="128"/>
      <c r="X170" s="128"/>
      <c r="Y170" s="128"/>
      <c r="Z170" s="128"/>
      <c r="AA170" s="128"/>
      <c r="AB170" s="128"/>
      <c r="AC170" s="128"/>
      <c r="AI170" s="107"/>
      <c r="AJ170" s="128"/>
      <c r="AK170" s="128"/>
      <c r="AL170" s="128"/>
      <c r="AM170" s="128"/>
      <c r="AN170" s="128"/>
      <c r="AO170" s="128"/>
      <c r="AP170" s="128"/>
      <c r="AQ170" s="128"/>
      <c r="AR170" s="128"/>
      <c r="AS170" s="128"/>
      <c r="AT170" s="128"/>
      <c r="AU170" s="128"/>
      <c r="AV170" s="128"/>
    </row>
    <row r="171" spans="3:48" s="124" customFormat="1">
      <c r="C171" s="282" t="s">
        <v>542</v>
      </c>
      <c r="D171" s="128">
        <f t="shared" ref="D171:M171" si="292">D170/D62</f>
        <v>4.2468239564428314E-3</v>
      </c>
      <c r="E171" s="128">
        <f t="shared" si="292"/>
        <v>6.9842523364485931E-2</v>
      </c>
      <c r="F171" s="128">
        <f t="shared" si="292"/>
        <v>0.26021352313167262</v>
      </c>
      <c r="G171" s="128">
        <f t="shared" si="292"/>
        <v>-5.1949597015116623E-2</v>
      </c>
      <c r="H171" s="128">
        <f t="shared" si="292"/>
        <v>4.0323896185115615E-2</v>
      </c>
      <c r="I171" s="298">
        <f t="shared" si="292"/>
        <v>-4.6490458383501673E-2</v>
      </c>
      <c r="J171" s="298">
        <f t="shared" si="292"/>
        <v>4.3441272879476286E-2</v>
      </c>
      <c r="K171" s="298">
        <f t="shared" si="292"/>
        <v>8.3270347159939667E-2</v>
      </c>
      <c r="L171" s="298">
        <f t="shared" si="292"/>
        <v>3.0036534395750176E-2</v>
      </c>
      <c r="M171" s="298">
        <f t="shared" si="292"/>
        <v>0.22796373789764854</v>
      </c>
      <c r="N171" s="298">
        <f t="shared" ref="N171:O171" si="293">N170/N62</f>
        <v>3.9950819672131044E-2</v>
      </c>
      <c r="O171" s="298">
        <f t="shared" si="293"/>
        <v>7.4786200194363453E-2</v>
      </c>
      <c r="S171" s="128"/>
      <c r="T171" s="128"/>
      <c r="U171" s="128"/>
      <c r="V171" s="128"/>
      <c r="W171" s="128"/>
      <c r="X171" s="128"/>
      <c r="Y171" s="128"/>
      <c r="Z171" s="128"/>
      <c r="AA171" s="128"/>
      <c r="AB171" s="128"/>
      <c r="AC171" s="128"/>
      <c r="AI171" s="128"/>
      <c r="AJ171" s="128"/>
      <c r="AK171" s="128"/>
      <c r="AL171" s="128"/>
      <c r="AM171" s="128"/>
      <c r="AN171" s="128"/>
      <c r="AO171" s="128"/>
      <c r="AP171" s="128"/>
      <c r="AQ171" s="128"/>
      <c r="AR171" s="128"/>
      <c r="AS171" s="128"/>
      <c r="AT171" s="128"/>
      <c r="AU171" s="128"/>
      <c r="AV171" s="128"/>
    </row>
    <row r="172" spans="3:48" s="124" customFormat="1">
      <c r="C172" s="281" t="s">
        <v>709</v>
      </c>
      <c r="D172" s="107">
        <f>D170</f>
        <v>936</v>
      </c>
      <c r="E172" s="107">
        <f t="shared" ref="E172:J172" si="294">D172+E170</f>
        <v>15882.299999999988</v>
      </c>
      <c r="F172" s="107">
        <f t="shared" si="294"/>
        <v>67066.299999999988</v>
      </c>
      <c r="G172" s="107">
        <f t="shared" si="294"/>
        <v>51658.049525316397</v>
      </c>
      <c r="H172" s="107">
        <f t="shared" si="294"/>
        <v>64057.647602239449</v>
      </c>
      <c r="I172" s="101">
        <f t="shared" si="294"/>
        <v>46777.144221091876</v>
      </c>
      <c r="J172" s="101">
        <f t="shared" si="294"/>
        <v>63419.495861219242</v>
      </c>
      <c r="K172" s="101">
        <f>J172+K170</f>
        <v>91173.502569627133</v>
      </c>
      <c r="L172" s="101">
        <f>K172+L170</f>
        <v>100220.50672962709</v>
      </c>
      <c r="M172" s="101">
        <f>L172+M170</f>
        <v>166147.61972962704</v>
      </c>
      <c r="N172" s="101">
        <f>M172+N170</f>
        <v>175408.21972962702</v>
      </c>
      <c r="O172" s="101">
        <f>N172+O170</f>
        <v>190799.21972962702</v>
      </c>
      <c r="S172" s="107"/>
      <c r="T172" s="128"/>
      <c r="U172" s="128"/>
      <c r="V172" s="128"/>
      <c r="W172" s="128"/>
      <c r="X172" s="128"/>
      <c r="Y172" s="128"/>
      <c r="Z172" s="128"/>
      <c r="AA172" s="128"/>
      <c r="AB172" s="128"/>
      <c r="AC172" s="128"/>
      <c r="AI172" s="107"/>
      <c r="AJ172" s="128"/>
      <c r="AK172" s="128"/>
      <c r="AL172" s="128"/>
      <c r="AM172" s="128"/>
      <c r="AN172" s="128"/>
      <c r="AO172" s="128"/>
      <c r="AP172" s="128"/>
      <c r="AQ172" s="128"/>
      <c r="AR172" s="128"/>
      <c r="AS172" s="128"/>
      <c r="AT172" s="128"/>
      <c r="AU172" s="128"/>
      <c r="AV172" s="128"/>
    </row>
    <row r="173" spans="3:48" s="124" customFormat="1">
      <c r="C173" s="282" t="s">
        <v>710</v>
      </c>
      <c r="D173" s="282">
        <f t="shared" ref="D173:M173" si="295">D172/D63</f>
        <v>4.2468239564428314E-3</v>
      </c>
      <c r="E173" s="282">
        <f t="shared" si="295"/>
        <v>3.6561464088397763E-2</v>
      </c>
      <c r="F173" s="282">
        <f t="shared" si="295"/>
        <v>0.1062688955791475</v>
      </c>
      <c r="G173" s="282">
        <f t="shared" si="295"/>
        <v>5.5684002937713049E-2</v>
      </c>
      <c r="H173" s="283">
        <f t="shared" si="295"/>
        <v>5.1860142165025463E-2</v>
      </c>
      <c r="I173" s="283">
        <f t="shared" si="295"/>
        <v>2.9110177497723488E-2</v>
      </c>
      <c r="J173" s="283">
        <f t="shared" si="295"/>
        <v>3.1869093397597609E-2</v>
      </c>
      <c r="K173" s="283">
        <f t="shared" si="295"/>
        <v>3.9243103589561026E-2</v>
      </c>
      <c r="L173" s="283">
        <f t="shared" si="295"/>
        <v>3.8186514280673302E-2</v>
      </c>
      <c r="M173" s="283">
        <f t="shared" si="295"/>
        <v>5.7022898627047069E-2</v>
      </c>
      <c r="N173" s="283">
        <f t="shared" ref="N173:O173" si="296">N172/N63</f>
        <v>5.5764813139286926E-2</v>
      </c>
      <c r="O173" s="335">
        <f t="shared" si="296"/>
        <v>5.6932897600819689E-2</v>
      </c>
      <c r="S173" s="128"/>
      <c r="T173" s="128"/>
      <c r="U173" s="128"/>
      <c r="V173" s="128"/>
      <c r="W173" s="128"/>
      <c r="X173" s="128"/>
      <c r="Y173" s="128"/>
      <c r="Z173" s="128"/>
      <c r="AA173" s="128"/>
      <c r="AB173" s="128"/>
      <c r="AC173" s="128"/>
      <c r="AI173" s="128"/>
      <c r="AJ173" s="128"/>
      <c r="AK173" s="128"/>
      <c r="AL173" s="128"/>
      <c r="AM173" s="128"/>
      <c r="AN173" s="128"/>
      <c r="AO173" s="128"/>
      <c r="AP173" s="128"/>
      <c r="AQ173" s="128"/>
      <c r="AR173" s="128"/>
      <c r="AS173" s="128"/>
      <c r="AT173" s="128"/>
      <c r="AU173" s="128"/>
      <c r="AV173" s="128"/>
    </row>
    <row r="174" spans="3:48" s="108" customFormat="1">
      <c r="C174" s="108" t="s">
        <v>424</v>
      </c>
      <c r="D174" s="108">
        <f t="shared" ref="D174:I174" si="297">D103-D66</f>
        <v>-25938.561977522972</v>
      </c>
      <c r="E174" s="108">
        <f t="shared" si="297"/>
        <v>4264.4380224770284</v>
      </c>
      <c r="F174" s="108">
        <f t="shared" si="297"/>
        <v>19401.934374281671</v>
      </c>
      <c r="G174" s="108">
        <f t="shared" si="297"/>
        <v>-240782.19398601213</v>
      </c>
      <c r="H174" s="108">
        <f t="shared" si="297"/>
        <v>-6089.0570913210977</v>
      </c>
      <c r="I174" s="164">
        <f t="shared" si="297"/>
        <v>836273.68538981164</v>
      </c>
      <c r="J174" s="164">
        <f t="shared" ref="J174:O174" si="298">J103-J66</f>
        <v>581546.08982953941</v>
      </c>
      <c r="K174" s="164">
        <f t="shared" si="298"/>
        <v>-6267.2403589854948</v>
      </c>
      <c r="L174" s="164">
        <f t="shared" si="298"/>
        <v>20116.165575888939</v>
      </c>
      <c r="M174" s="164">
        <f t="shared" si="298"/>
        <v>-97081.71836317156</v>
      </c>
      <c r="N174" s="164">
        <f t="shared" si="298"/>
        <v>-58275.79113609693</v>
      </c>
      <c r="O174" s="164">
        <f t="shared" si="298"/>
        <v>36559.61421530036</v>
      </c>
      <c r="P174" s="161"/>
      <c r="S174" s="107"/>
      <c r="T174" s="107"/>
      <c r="U174" s="107"/>
      <c r="V174" s="107"/>
      <c r="W174" s="107"/>
      <c r="X174" s="107"/>
      <c r="Y174" s="107"/>
      <c r="Z174" s="107"/>
      <c r="AA174" s="107"/>
      <c r="AB174" s="107"/>
      <c r="AC174" s="107"/>
      <c r="AI174" s="107"/>
      <c r="AJ174" s="107"/>
      <c r="AK174" s="107"/>
      <c r="AL174" s="107"/>
      <c r="AM174" s="107"/>
      <c r="AN174" s="107"/>
      <c r="AO174" s="107"/>
      <c r="AP174" s="107"/>
      <c r="AQ174" s="107"/>
      <c r="AR174" s="107"/>
      <c r="AS174" s="107"/>
      <c r="AT174" s="107"/>
      <c r="AU174" s="107"/>
      <c r="AV174" s="107"/>
    </row>
    <row r="175" spans="3:48">
      <c r="C175" s="10" t="s">
        <v>425</v>
      </c>
      <c r="D175" s="282">
        <f t="shared" ref="D175:M175" si="299">D174/D66</f>
        <v>-5.3387415283322449E-2</v>
      </c>
      <c r="E175" s="282">
        <f t="shared" si="299"/>
        <v>8.894337952313789E-3</v>
      </c>
      <c r="F175" s="282">
        <f t="shared" si="299"/>
        <v>3.8165582536928214E-2</v>
      </c>
      <c r="G175" s="282">
        <f t="shared" si="299"/>
        <v>-0.23641555286331636</v>
      </c>
      <c r="H175" s="282">
        <f t="shared" si="299"/>
        <v>-4.0117858449012509E-3</v>
      </c>
      <c r="I175" s="283">
        <f t="shared" si="299"/>
        <v>0.38815549587266585</v>
      </c>
      <c r="J175" s="283">
        <f t="shared" si="299"/>
        <v>0.24036343517677652</v>
      </c>
      <c r="K175" s="283">
        <f t="shared" si="299"/>
        <v>-3.1286675919930769E-3</v>
      </c>
      <c r="L175" s="283">
        <f t="shared" si="299"/>
        <v>1.2283114771718657E-2</v>
      </c>
      <c r="M175" s="283">
        <f t="shared" si="299"/>
        <v>-9.1471417885988768E-2</v>
      </c>
      <c r="N175" s="283">
        <f t="shared" ref="N175:O175" si="300">N174/N66</f>
        <v>-8.8358746524148796E-2</v>
      </c>
      <c r="O175" s="283">
        <f t="shared" si="300"/>
        <v>7.9014963807527816E-2</v>
      </c>
      <c r="S175" s="24"/>
      <c r="T175" s="128"/>
      <c r="U175" s="24"/>
      <c r="V175" s="24"/>
      <c r="W175" s="24"/>
      <c r="X175" s="24"/>
      <c r="Y175" s="24"/>
      <c r="Z175" s="24"/>
      <c r="AA175" s="24"/>
      <c r="AB175" s="24"/>
      <c r="AC175" s="24"/>
      <c r="AI175" s="24"/>
      <c r="AJ175" s="128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</row>
    <row r="176" spans="3:48" s="108" customFormat="1">
      <c r="C176" s="108" t="s">
        <v>711</v>
      </c>
      <c r="D176" s="108">
        <f>D174</f>
        <v>-25938.561977522972</v>
      </c>
      <c r="E176" s="108">
        <f t="shared" ref="E176:J176" si="301">D176+E174</f>
        <v>-21674.123955045943</v>
      </c>
      <c r="F176" s="108">
        <f t="shared" si="301"/>
        <v>-2272.1895807642723</v>
      </c>
      <c r="G176" s="108">
        <f t="shared" si="301"/>
        <v>-243054.38356677641</v>
      </c>
      <c r="H176" s="108">
        <f t="shared" si="301"/>
        <v>-249143.4406580975</v>
      </c>
      <c r="I176" s="164">
        <f t="shared" si="301"/>
        <v>587130.24473171413</v>
      </c>
      <c r="J176" s="164">
        <f t="shared" si="301"/>
        <v>1168676.3345612534</v>
      </c>
      <c r="K176" s="164">
        <f>J176+K174</f>
        <v>1162409.0942022679</v>
      </c>
      <c r="L176" s="164">
        <f>K176+L174</f>
        <v>1182525.2597781569</v>
      </c>
      <c r="M176" s="164">
        <f>L176+M174</f>
        <v>1085443.5414149854</v>
      </c>
      <c r="N176" s="164">
        <f>M176+N174</f>
        <v>1027167.7502788885</v>
      </c>
      <c r="O176" s="164">
        <f>N176+O174</f>
        <v>1063727.3644941889</v>
      </c>
      <c r="P176" s="161"/>
      <c r="S176" s="107"/>
      <c r="T176" s="107"/>
      <c r="U176" s="107"/>
      <c r="V176" s="107"/>
      <c r="W176" s="107"/>
      <c r="X176" s="107"/>
      <c r="Y176" s="107"/>
      <c r="Z176" s="107"/>
      <c r="AA176" s="107"/>
      <c r="AB176" s="107"/>
      <c r="AC176" s="107"/>
      <c r="AI176" s="107"/>
      <c r="AJ176" s="107"/>
      <c r="AK176" s="107"/>
      <c r="AL176" s="107"/>
      <c r="AM176" s="107"/>
      <c r="AN176" s="107"/>
      <c r="AO176" s="107"/>
      <c r="AP176" s="107"/>
      <c r="AQ176" s="107"/>
      <c r="AR176" s="107"/>
      <c r="AS176" s="107"/>
      <c r="AT176" s="107"/>
      <c r="AU176" s="107"/>
      <c r="AV176" s="107"/>
    </row>
    <row r="177" spans="3:48" s="124" customFormat="1">
      <c r="C177" s="128" t="s">
        <v>712</v>
      </c>
      <c r="D177" s="282">
        <f t="shared" ref="D177:M177" si="302">D176/D67</f>
        <v>-5.3387415283322449E-2</v>
      </c>
      <c r="E177" s="282">
        <f t="shared" si="302"/>
        <v>-2.2453002351660704E-2</v>
      </c>
      <c r="F177" s="282">
        <f t="shared" si="302"/>
        <v>-1.541854879067607E-3</v>
      </c>
      <c r="G177" s="282">
        <f t="shared" si="302"/>
        <v>-9.7528265901868472E-2</v>
      </c>
      <c r="H177" s="282">
        <f t="shared" si="302"/>
        <v>-6.2131538770277689E-2</v>
      </c>
      <c r="I177" s="283">
        <f t="shared" si="302"/>
        <v>9.5245067889426813E-2</v>
      </c>
      <c r="J177" s="283">
        <f t="shared" si="302"/>
        <v>0.13614809373510164</v>
      </c>
      <c r="K177" s="283">
        <f t="shared" si="302"/>
        <v>0.10979560953099878</v>
      </c>
      <c r="L177" s="283">
        <f t="shared" si="302"/>
        <v>9.6732172012600343E-2</v>
      </c>
      <c r="M177" s="283">
        <f t="shared" si="302"/>
        <v>8.1697864979507692E-2</v>
      </c>
      <c r="N177" s="283">
        <f t="shared" ref="N177:O177" si="303">N176/N67</f>
        <v>7.365529663011168E-2</v>
      </c>
      <c r="O177" s="283">
        <f t="shared" si="303"/>
        <v>7.382741110189861E-2</v>
      </c>
      <c r="S177" s="128"/>
      <c r="T177" s="128"/>
      <c r="U177" s="128"/>
      <c r="V177" s="128"/>
      <c r="W177" s="128"/>
      <c r="X177" s="128"/>
      <c r="Y177" s="128"/>
      <c r="Z177" s="128"/>
      <c r="AA177" s="128"/>
      <c r="AB177" s="128"/>
      <c r="AC177" s="128"/>
      <c r="AI177" s="128"/>
      <c r="AJ177" s="128"/>
      <c r="AK177" s="128"/>
      <c r="AL177" s="128"/>
      <c r="AM177" s="128"/>
      <c r="AN177" s="128"/>
      <c r="AO177" s="128"/>
      <c r="AP177" s="128"/>
      <c r="AQ177" s="128"/>
      <c r="AR177" s="128"/>
      <c r="AS177" s="128"/>
      <c r="AT177" s="128"/>
      <c r="AU177" s="128"/>
      <c r="AV177" s="128"/>
    </row>
    <row r="178" spans="3:48">
      <c r="C178" s="108" t="s">
        <v>594</v>
      </c>
      <c r="D178" s="108">
        <f t="shared" ref="D178:I178" si="304">D105-D66</f>
        <v>-25938.561977522972</v>
      </c>
      <c r="E178" s="108">
        <f t="shared" si="304"/>
        <v>4264.4380224770284</v>
      </c>
      <c r="F178" s="108">
        <f t="shared" si="304"/>
        <v>19401.934374281671</v>
      </c>
      <c r="G178" s="108">
        <f t="shared" si="304"/>
        <v>-180338.50611681386</v>
      </c>
      <c r="H178" s="108">
        <f t="shared" si="304"/>
        <v>-104284.84875798807</v>
      </c>
      <c r="I178" s="164">
        <f t="shared" si="304"/>
        <v>-35240.612683959305</v>
      </c>
      <c r="J178" s="164">
        <f t="shared" ref="J178:O178" si="305">J105-J66</f>
        <v>48659.358980282675</v>
      </c>
      <c r="K178" s="164">
        <f t="shared" si="305"/>
        <v>102201.24137923727</v>
      </c>
      <c r="L178" s="164">
        <f t="shared" si="305"/>
        <v>-99421.307277444052</v>
      </c>
      <c r="M178" s="164">
        <f t="shared" si="305"/>
        <v>30840.321636828361</v>
      </c>
      <c r="N178" s="164">
        <f t="shared" si="305"/>
        <v>-58275.79113609693</v>
      </c>
      <c r="O178" s="164">
        <f t="shared" si="305"/>
        <v>36559.61421530036</v>
      </c>
      <c r="S178" s="107"/>
      <c r="AI178" s="107"/>
    </row>
    <row r="179" spans="3:48">
      <c r="C179" s="10" t="s">
        <v>595</v>
      </c>
      <c r="D179" s="282">
        <f t="shared" ref="D179:M179" si="306">D178/D66</f>
        <v>-5.3387415283322449E-2</v>
      </c>
      <c r="E179" s="282">
        <f t="shared" si="306"/>
        <v>8.894337952313789E-3</v>
      </c>
      <c r="F179" s="282">
        <f t="shared" si="306"/>
        <v>3.8165582536928214E-2</v>
      </c>
      <c r="G179" s="282">
        <f t="shared" si="306"/>
        <v>-0.1770680253400628</v>
      </c>
      <c r="H179" s="282">
        <f t="shared" si="306"/>
        <v>-6.8708253808504524E-2</v>
      </c>
      <c r="I179" s="283">
        <f t="shared" si="306"/>
        <v>-1.6356890967844668E-2</v>
      </c>
      <c r="J179" s="283">
        <f t="shared" si="306"/>
        <v>2.0111786292689098E-2</v>
      </c>
      <c r="K179" s="283">
        <f t="shared" si="306"/>
        <v>5.1019857776196949E-2</v>
      </c>
      <c r="L179" s="283">
        <f t="shared" si="306"/>
        <v>-6.0707559968927488E-2</v>
      </c>
      <c r="M179" s="283">
        <f t="shared" si="306"/>
        <v>2.9058075977060494E-2</v>
      </c>
      <c r="N179" s="283">
        <f t="shared" ref="N179:O179" si="307">N178/N66</f>
        <v>-8.8358746524148796E-2</v>
      </c>
      <c r="O179" s="283">
        <f t="shared" si="307"/>
        <v>7.9014963807527816E-2</v>
      </c>
      <c r="S179" s="24"/>
      <c r="AI179" s="24"/>
    </row>
    <row r="180" spans="3:48">
      <c r="C180" s="108" t="s">
        <v>713</v>
      </c>
      <c r="D180" s="108">
        <f>D105-D67</f>
        <v>-25938.561977522972</v>
      </c>
      <c r="E180" s="108">
        <f t="shared" ref="E180:J180" si="308">D180+E178</f>
        <v>-21674.123955045943</v>
      </c>
      <c r="F180" s="108">
        <f t="shared" si="308"/>
        <v>-2272.1895807642723</v>
      </c>
      <c r="G180" s="108">
        <f t="shared" si="308"/>
        <v>-182610.69569757814</v>
      </c>
      <c r="H180" s="108">
        <f t="shared" si="308"/>
        <v>-286895.54445556621</v>
      </c>
      <c r="I180" s="164">
        <f t="shared" si="308"/>
        <v>-322136.15713952552</v>
      </c>
      <c r="J180" s="164">
        <f t="shared" si="308"/>
        <v>-273476.79815924284</v>
      </c>
      <c r="K180" s="164">
        <f>J180+K178</f>
        <v>-171275.55678000557</v>
      </c>
      <c r="L180" s="164">
        <f>K180+L178</f>
        <v>-270696.86405744962</v>
      </c>
      <c r="M180" s="164">
        <f>L180+M178</f>
        <v>-239856.54242062126</v>
      </c>
      <c r="N180" s="164">
        <f>M180+N178</f>
        <v>-298132.33355671819</v>
      </c>
      <c r="O180" s="164">
        <f>N180+O178</f>
        <v>-261572.71934141783</v>
      </c>
      <c r="S180" s="107"/>
      <c r="AI180" s="107"/>
    </row>
    <row r="181" spans="3:48">
      <c r="C181" s="128" t="s">
        <v>714</v>
      </c>
      <c r="D181" s="282">
        <f t="shared" ref="D181:M181" si="309">D180/D67</f>
        <v>-5.3387415283322449E-2</v>
      </c>
      <c r="E181" s="282">
        <f t="shared" si="309"/>
        <v>-2.2453002351660704E-2</v>
      </c>
      <c r="F181" s="282">
        <f t="shared" si="309"/>
        <v>-1.541854879067607E-3</v>
      </c>
      <c r="G181" s="282">
        <f t="shared" si="309"/>
        <v>-7.3274566066921301E-2</v>
      </c>
      <c r="H181" s="282">
        <f t="shared" si="309"/>
        <v>-7.1546180771512896E-2</v>
      </c>
      <c r="I181" s="283">
        <f t="shared" si="309"/>
        <v>-5.2257366115440171E-2</v>
      </c>
      <c r="J181" s="283">
        <f t="shared" si="309"/>
        <v>-3.1859415347995627E-2</v>
      </c>
      <c r="K181" s="283">
        <f t="shared" si="309"/>
        <v>-1.6177870810041718E-2</v>
      </c>
      <c r="L181" s="283">
        <f t="shared" si="309"/>
        <v>-2.214337106184866E-2</v>
      </c>
      <c r="M181" s="283">
        <f t="shared" si="309"/>
        <v>-1.805323507806441E-2</v>
      </c>
      <c r="N181" s="283">
        <f t="shared" ref="N181:O181" si="310">N180/N67</f>
        <v>-2.137822712715166E-2</v>
      </c>
      <c r="O181" s="283">
        <f t="shared" si="310"/>
        <v>-1.8154310332180887E-2</v>
      </c>
      <c r="S181" s="128"/>
      <c r="AI181" s="128"/>
    </row>
    <row r="200" spans="4:4">
      <c r="D200" s="154"/>
    </row>
  </sheetData>
  <phoneticPr fontId="0" type="noConversion"/>
  <printOptions horizontalCentered="1" verticalCentered="1"/>
  <pageMargins left="0.75" right="0.75" top="1" bottom="1" header="0.5" footer="0.5"/>
  <pageSetup scale="55" orientation="landscape" horizontalDpi="1200" verticalDpi="1200" r:id="rId1"/>
  <headerFooter alignWithMargins="0">
    <oddFooter>&amp;A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pageSetUpPr fitToPage="1"/>
  </sheetPr>
  <dimension ref="A1:O368"/>
  <sheetViews>
    <sheetView topLeftCell="I1" zoomScale="50" workbookViewId="0">
      <selection activeCell="AD28" sqref="AD28"/>
    </sheetView>
  </sheetViews>
  <sheetFormatPr defaultRowHeight="20.25"/>
  <cols>
    <col min="1" max="1" width="53.6640625" style="1" bestFit="1" customWidth="1"/>
    <col min="2" max="2" width="10.109375" style="10" customWidth="1"/>
    <col min="3" max="11" width="12.109375" style="10" bestFit="1" customWidth="1"/>
    <col min="12" max="12" width="9.88671875" style="10" bestFit="1" customWidth="1"/>
    <col min="13" max="13" width="10.109375" style="10" bestFit="1" customWidth="1"/>
    <col min="14" max="14" width="17.44140625" style="10" bestFit="1" customWidth="1"/>
    <col min="15" max="16384" width="8.88671875" style="1"/>
  </cols>
  <sheetData>
    <row r="1" spans="1:14">
      <c r="A1" s="33" t="s">
        <v>552</v>
      </c>
      <c r="B1" s="142">
        <v>40360</v>
      </c>
      <c r="C1" s="142">
        <v>40391</v>
      </c>
      <c r="D1" s="142">
        <v>40422</v>
      </c>
      <c r="E1" s="142">
        <v>40452</v>
      </c>
      <c r="F1" s="142">
        <v>40483</v>
      </c>
      <c r="G1" s="142">
        <v>40513</v>
      </c>
      <c r="H1" s="142">
        <v>40544</v>
      </c>
      <c r="I1" s="142">
        <v>40575</v>
      </c>
      <c r="J1" s="142">
        <v>40603</v>
      </c>
      <c r="K1" s="142">
        <v>40634</v>
      </c>
      <c r="L1" s="142">
        <v>40664</v>
      </c>
      <c r="M1" s="142">
        <v>40695</v>
      </c>
      <c r="N1" s="11" t="s">
        <v>758</v>
      </c>
    </row>
    <row r="2" spans="1:14">
      <c r="A2" s="1" t="s">
        <v>553</v>
      </c>
      <c r="B2" s="22">
        <f>+MCFS!D39</f>
        <v>122706.163535427</v>
      </c>
      <c r="C2" s="22">
        <f>+MCFS!E39</f>
        <v>122706.163535427</v>
      </c>
      <c r="D2" s="22">
        <f>+MCFS!F39</f>
        <v>152921.97592089153</v>
      </c>
      <c r="E2" s="22">
        <f>+MCFS!G39</f>
        <v>407490.12791306869</v>
      </c>
      <c r="F2" s="22">
        <f>+MCFS!H39</f>
        <v>713629.95911775937</v>
      </c>
      <c r="G2" s="22">
        <f>+MCFS!I39</f>
        <v>1069454.6317775422</v>
      </c>
      <c r="H2" s="22">
        <f>+MCFS!J39</f>
        <v>1227667.9453206768</v>
      </c>
      <c r="I2" s="22">
        <f>+MCFS!K39</f>
        <v>1003154.4618991468</v>
      </c>
      <c r="J2" s="22">
        <f>+MCFS!L39</f>
        <v>790999.19994162617</v>
      </c>
      <c r="K2" s="22">
        <f>+MCFS!M71</f>
        <v>326500.7</v>
      </c>
      <c r="L2" s="22">
        <f>+MCFS!N39</f>
        <v>223962.6842030329</v>
      </c>
      <c r="M2" s="22">
        <f>+MCFS!O39</f>
        <v>118747.90019557452</v>
      </c>
      <c r="N2" s="22">
        <f>+MCFS!P39</f>
        <v>6393678.5666753957</v>
      </c>
    </row>
    <row r="3" spans="1:14">
      <c r="A3" s="1" t="s">
        <v>554</v>
      </c>
      <c r="B3" s="22">
        <f>+MCFS!D71</f>
        <v>104191.9</v>
      </c>
      <c r="C3" s="22">
        <f>+MCFS!E71</f>
        <v>107316.7</v>
      </c>
      <c r="D3" s="22">
        <f>+MCFS!F71</f>
        <v>125967</v>
      </c>
      <c r="E3" s="22">
        <f>+MCFS!G71</f>
        <v>269588</v>
      </c>
      <c r="F3" s="22">
        <f>+MCFS!H71</f>
        <v>718486.4</v>
      </c>
      <c r="G3" s="22">
        <f>+MCFS!I71</f>
        <v>1616361.7</v>
      </c>
      <c r="H3" s="22">
        <f>+MCFS!J71</f>
        <v>1566598.5</v>
      </c>
      <c r="I3" s="22">
        <f>+MCFS!K71</f>
        <v>994288.5</v>
      </c>
      <c r="J3" s="22">
        <f>+MCFS!L71</f>
        <v>764534</v>
      </c>
      <c r="K3" s="22">
        <f>+MCFS!M71</f>
        <v>326500.7</v>
      </c>
      <c r="L3" s="22">
        <f>+MCFS!N71</f>
        <v>159254.29999999999</v>
      </c>
      <c r="M3" s="22">
        <f>+MCFS!O71</f>
        <v>123802</v>
      </c>
      <c r="N3" s="22">
        <f>+MCFS!P71</f>
        <v>6876889.7000000002</v>
      </c>
    </row>
    <row r="4" spans="1:14">
      <c r="A4" s="1" t="s">
        <v>555</v>
      </c>
      <c r="B4" s="22">
        <f>+MCFS!D73</f>
        <v>104191.9</v>
      </c>
      <c r="C4" s="22">
        <f>+MCFS!E73</f>
        <v>107316.7</v>
      </c>
      <c r="D4" s="22">
        <f>+MCFS!F73</f>
        <v>125967</v>
      </c>
      <c r="E4" s="22">
        <f>+MCFS!G73</f>
        <v>302647.78755274264</v>
      </c>
      <c r="F4" s="22">
        <f>+MCFS!H73</f>
        <v>660217.6948717949</v>
      </c>
      <c r="G4" s="22">
        <f>+MCFS!I73</f>
        <v>1092164.4486680327</v>
      </c>
      <c r="H4" s="22">
        <f>+MCFS!J73</f>
        <v>1257948.1588800424</v>
      </c>
      <c r="I4" s="22">
        <f>+MCFS!K73</f>
        <v>1057781.0125074538</v>
      </c>
      <c r="J4" s="22">
        <f>+MCFS!L73</f>
        <v>697764.88554666669</v>
      </c>
      <c r="K4" s="22">
        <f>+MCFS!M73</f>
        <v>384283.08500000002</v>
      </c>
      <c r="L4" s="22">
        <f>+MCFS!N73</f>
        <v>159254.29999999999</v>
      </c>
      <c r="M4" s="22">
        <f>+MCFS!O73</f>
        <v>123802</v>
      </c>
      <c r="N4" s="22">
        <f>+MCFS!P73</f>
        <v>6073338.9730267329</v>
      </c>
    </row>
    <row r="30" spans="1:14">
      <c r="A30" s="33" t="s">
        <v>556</v>
      </c>
      <c r="B30" s="142">
        <v>40360</v>
      </c>
      <c r="C30" s="142">
        <v>40391</v>
      </c>
      <c r="D30" s="142">
        <v>40422</v>
      </c>
      <c r="E30" s="142">
        <v>40452</v>
      </c>
      <c r="F30" s="142">
        <v>40483</v>
      </c>
      <c r="G30" s="142">
        <v>40513</v>
      </c>
      <c r="H30" s="142">
        <v>40544</v>
      </c>
      <c r="I30" s="142">
        <v>40575</v>
      </c>
      <c r="J30" s="142">
        <v>40603</v>
      </c>
      <c r="K30" s="142">
        <v>40634</v>
      </c>
      <c r="L30" s="142">
        <v>40664</v>
      </c>
      <c r="M30" s="142">
        <v>40695</v>
      </c>
      <c r="N30" s="11" t="s">
        <v>758</v>
      </c>
    </row>
    <row r="31" spans="1:14">
      <c r="A31" s="1" t="s">
        <v>557</v>
      </c>
      <c r="B31" s="22">
        <f>+MCFS!D44</f>
        <v>67961.698442095978</v>
      </c>
      <c r="C31" s="22">
        <f>+MCFS!E44</f>
        <v>67961.698442095978</v>
      </c>
      <c r="D31" s="22">
        <f>+MCFS!F44</f>
        <v>79597.134704826822</v>
      </c>
      <c r="E31" s="22">
        <f>+MCFS!G44</f>
        <v>183192.94107294339</v>
      </c>
      <c r="F31" s="22">
        <f>+MCFS!H44</f>
        <v>306474.64797356189</v>
      </c>
      <c r="G31" s="22">
        <f>+MCFS!I44</f>
        <v>451041.56283264642</v>
      </c>
      <c r="H31" s="22">
        <f>+MCFS!J44</f>
        <v>515058.91984978388</v>
      </c>
      <c r="I31" s="22">
        <f>+MCFS!K44</f>
        <v>422442.65345983859</v>
      </c>
      <c r="J31" s="22">
        <f>+MCFS!L44</f>
        <v>338371.01448248455</v>
      </c>
      <c r="K31" s="22">
        <f>+MCFS!M44</f>
        <v>195852.65504794841</v>
      </c>
      <c r="L31" s="22">
        <f>+MCFS!N44</f>
        <v>108932.80693306393</v>
      </c>
      <c r="M31" s="22">
        <f>+MCFS!O44</f>
        <v>65769.38558912513</v>
      </c>
      <c r="N31" s="22">
        <f>+MCFS!P44</f>
        <v>2802657.118830415</v>
      </c>
    </row>
    <row r="32" spans="1:14">
      <c r="A32" s="1" t="s">
        <v>558</v>
      </c>
      <c r="B32" s="22">
        <f>+MCFS!D75</f>
        <v>74535.899999999994</v>
      </c>
      <c r="C32" s="22">
        <f>+MCFS!E75</f>
        <v>82498.3</v>
      </c>
      <c r="D32" s="22">
        <f>+MCFS!F75</f>
        <v>85349</v>
      </c>
      <c r="E32" s="22">
        <f>+MCFS!G75</f>
        <v>131832</v>
      </c>
      <c r="F32" s="22">
        <f>+MCFS!H75</f>
        <v>271978.7</v>
      </c>
      <c r="G32" s="22">
        <f>+MCFS!I75</f>
        <v>618245.9</v>
      </c>
      <c r="H32" s="22">
        <f>+MCFS!J75</f>
        <v>648056.80000000005</v>
      </c>
      <c r="I32" s="22">
        <f>+MCFS!K75</f>
        <v>413881</v>
      </c>
      <c r="J32" s="22">
        <f>+MCFS!L75</f>
        <v>355789.4</v>
      </c>
      <c r="K32" s="22">
        <f>+MCFS!M75</f>
        <v>184651.7</v>
      </c>
      <c r="L32" s="22">
        <f>+MCFS!N75</f>
        <v>108581.9</v>
      </c>
      <c r="M32" s="22">
        <f>+MCFS!O75</f>
        <v>87293.9</v>
      </c>
      <c r="N32" s="22">
        <f>+MCFS!P75</f>
        <v>3062694.5</v>
      </c>
    </row>
    <row r="33" spans="1:14">
      <c r="A33" s="1" t="s">
        <v>559</v>
      </c>
      <c r="B33" s="22">
        <f>+MCFS!D77</f>
        <v>74535.899999999994</v>
      </c>
      <c r="C33" s="22">
        <f>+MCFS!E77</f>
        <v>82498.3</v>
      </c>
      <c r="D33" s="22">
        <f>+MCFS!F77</f>
        <v>85349</v>
      </c>
      <c r="E33" s="22">
        <f>+MCFS!G77</f>
        <v>142572.5075949367</v>
      </c>
      <c r="F33" s="22">
        <f>+MCFS!H77</f>
        <v>253595.5942307692</v>
      </c>
      <c r="G33" s="22">
        <f>+MCFS!I77</f>
        <v>430908.80952868855</v>
      </c>
      <c r="H33" s="22">
        <f>+MCFS!J77</f>
        <v>527649.03261146497</v>
      </c>
      <c r="I33" s="22">
        <f>+MCFS!K77</f>
        <v>437864.42692307691</v>
      </c>
      <c r="J33" s="22">
        <f>+MCFS!L77</f>
        <v>327629.91200000001</v>
      </c>
      <c r="K33" s="22">
        <f>+MCFS!M77</f>
        <v>212693.17100000003</v>
      </c>
      <c r="L33" s="22">
        <f>+MCFS!N77</f>
        <v>108581.9</v>
      </c>
      <c r="M33" s="22">
        <f>+MCFS!O77</f>
        <v>87293.9</v>
      </c>
      <c r="N33" s="22">
        <f>+MCFS!P77</f>
        <v>2771172.453888936</v>
      </c>
    </row>
    <row r="60" spans="1:14">
      <c r="A60" s="33" t="s">
        <v>560</v>
      </c>
      <c r="B60" s="142">
        <v>40360</v>
      </c>
      <c r="C60" s="142">
        <v>40391</v>
      </c>
      <c r="D60" s="142">
        <v>40422</v>
      </c>
      <c r="E60" s="142">
        <v>40452</v>
      </c>
      <c r="F60" s="142">
        <v>40483</v>
      </c>
      <c r="G60" s="142">
        <v>40513</v>
      </c>
      <c r="H60" s="142">
        <v>40544</v>
      </c>
      <c r="I60" s="142">
        <v>40575</v>
      </c>
      <c r="J60" s="142">
        <v>40603</v>
      </c>
      <c r="K60" s="142">
        <v>40634</v>
      </c>
      <c r="L60" s="142">
        <v>40664</v>
      </c>
      <c r="M60" s="142">
        <v>40695</v>
      </c>
      <c r="N60" s="11" t="s">
        <v>758</v>
      </c>
    </row>
    <row r="61" spans="1:14">
      <c r="A61" s="1" t="s">
        <v>561</v>
      </c>
      <c r="B61" s="22">
        <f>+MCFS!D46</f>
        <v>71625.5</v>
      </c>
      <c r="C61" s="22">
        <f>+MCFS!E46</f>
        <v>71625.5</v>
      </c>
      <c r="D61" s="22">
        <f>+MCFS!F46</f>
        <v>74540.714999999997</v>
      </c>
      <c r="E61" s="22">
        <f>+MCFS!G46</f>
        <v>115173.125</v>
      </c>
      <c r="F61" s="22">
        <f>+MCFS!H46</f>
        <v>160281.15</v>
      </c>
      <c r="G61" s="22">
        <f>+MCFS!I46</f>
        <v>216397.15999999997</v>
      </c>
      <c r="H61" s="22">
        <f>+MCFS!J46</f>
        <v>240590.28499999997</v>
      </c>
      <c r="I61" s="22">
        <f>+MCFS!K46</f>
        <v>201143.22500000001</v>
      </c>
      <c r="J61" s="22">
        <f>+MCFS!L46</f>
        <v>173817.26</v>
      </c>
      <c r="K61" s="22">
        <f>+MCFS!M46</f>
        <v>118475.43</v>
      </c>
      <c r="L61" s="22">
        <f>+MCFS!N46</f>
        <v>87109.1</v>
      </c>
      <c r="M61" s="22">
        <f>+MCFS!O46</f>
        <v>69315</v>
      </c>
      <c r="N61" s="22">
        <f>+MCFS!P46</f>
        <v>1600093.45</v>
      </c>
    </row>
    <row r="62" spans="1:14">
      <c r="A62" s="1" t="s">
        <v>562</v>
      </c>
      <c r="B62" s="22">
        <f>+MCFS!D79</f>
        <v>57280</v>
      </c>
      <c r="C62" s="22">
        <f>+MCFS!E79</f>
        <v>60834.8</v>
      </c>
      <c r="D62" s="22">
        <f>+MCFS!F79</f>
        <v>65658</v>
      </c>
      <c r="E62" s="22">
        <f>+MCFS!G79</f>
        <v>93332</v>
      </c>
      <c r="F62" s="22">
        <f>+MCFS!H79</f>
        <v>162707.4</v>
      </c>
      <c r="G62" s="22">
        <f>+MCFS!I79</f>
        <v>274133.2</v>
      </c>
      <c r="H62" s="22">
        <f>+MCFS!J79</f>
        <v>274682.59999999998</v>
      </c>
      <c r="I62" s="22">
        <f>+MCFS!K79</f>
        <v>191027.3</v>
      </c>
      <c r="J62" s="22">
        <f>+MCFS!L79</f>
        <v>185781.7</v>
      </c>
      <c r="K62" s="22">
        <f>+MCFS!M79</f>
        <v>106651.8</v>
      </c>
      <c r="L62" s="22">
        <f>+MCFS!N79</f>
        <v>85960.9</v>
      </c>
      <c r="M62" s="22">
        <f>+MCFS!O79</f>
        <v>62806.1</v>
      </c>
      <c r="N62" s="22">
        <f>+MCFS!P79</f>
        <v>1620855.7999999998</v>
      </c>
    </row>
    <row r="63" spans="1:14">
      <c r="A63" s="1" t="s">
        <v>563</v>
      </c>
      <c r="B63" s="22">
        <f>+MCFS!D81</f>
        <v>57280</v>
      </c>
      <c r="C63" s="22">
        <f>+MCFS!E81</f>
        <v>60834.8</v>
      </c>
      <c r="D63" s="22">
        <f>+MCFS!F81</f>
        <v>65658</v>
      </c>
      <c r="E63" s="22">
        <f>+MCFS!G81</f>
        <v>100081.83417721519</v>
      </c>
      <c r="F63" s="22">
        <f>+MCFS!H81</f>
        <v>152952.61153846153</v>
      </c>
      <c r="G63" s="22">
        <f>+MCFS!I81</f>
        <v>199932.0943442623</v>
      </c>
      <c r="H63" s="22">
        <f>+MCFS!J81</f>
        <v>229380.76480891719</v>
      </c>
      <c r="I63" s="22">
        <f>+MCFS!K81</f>
        <v>200371.18269230769</v>
      </c>
      <c r="J63" s="22">
        <f>+MCFS!L81</f>
        <v>173030.43216</v>
      </c>
      <c r="K63" s="22">
        <f>+MCFS!M81</f>
        <v>118908.234</v>
      </c>
      <c r="L63" s="22">
        <f>+MCFS!N81</f>
        <v>85960.9</v>
      </c>
      <c r="M63" s="22">
        <f>+MCFS!O81</f>
        <v>62806.1</v>
      </c>
      <c r="N63" s="22">
        <f>+MCFS!P81</f>
        <v>1507196.9537211638</v>
      </c>
    </row>
    <row r="90" spans="1:14">
      <c r="A90" s="33" t="s">
        <v>564</v>
      </c>
      <c r="B90" s="142">
        <v>40360</v>
      </c>
      <c r="C90" s="142">
        <v>40391</v>
      </c>
      <c r="D90" s="142">
        <v>40422</v>
      </c>
      <c r="E90" s="142">
        <v>40452</v>
      </c>
      <c r="F90" s="142">
        <v>40483</v>
      </c>
      <c r="G90" s="142">
        <v>40513</v>
      </c>
      <c r="H90" s="142">
        <v>40544</v>
      </c>
      <c r="I90" s="142">
        <v>40575</v>
      </c>
      <c r="J90" s="142">
        <v>40603</v>
      </c>
      <c r="K90" s="142">
        <v>40634</v>
      </c>
      <c r="L90" s="142">
        <v>40664</v>
      </c>
      <c r="M90" s="142">
        <v>40695</v>
      </c>
      <c r="N90" s="11" t="s">
        <v>758</v>
      </c>
    </row>
    <row r="91" spans="1:14">
      <c r="A91" s="1" t="s">
        <v>565</v>
      </c>
      <c r="B91" s="22">
        <f>+MCFS!D48</f>
        <v>3162</v>
      </c>
      <c r="C91" s="22">
        <f>+MCFS!E48</f>
        <v>3162</v>
      </c>
      <c r="D91" s="22">
        <f>+MCFS!F48</f>
        <v>4602.24</v>
      </c>
      <c r="E91" s="22">
        <f>+MCFS!G48</f>
        <v>16014</v>
      </c>
      <c r="F91" s="22">
        <f>+MCFS!H48</f>
        <v>29906.400000000001</v>
      </c>
      <c r="G91" s="22">
        <f>+MCFS!I48</f>
        <v>45887.76</v>
      </c>
      <c r="H91" s="22">
        <f>+MCFS!J48</f>
        <v>53027.76</v>
      </c>
      <c r="I91" s="22">
        <f>+MCFS!K48</f>
        <v>43125.599999999999</v>
      </c>
      <c r="J91" s="22">
        <f>+MCFS!L48</f>
        <v>33321.360000000001</v>
      </c>
      <c r="K91" s="22">
        <f>+MCFS!M48</f>
        <v>17568.480000000003</v>
      </c>
      <c r="L91" s="22">
        <f>+MCFS!N48</f>
        <v>7731.6</v>
      </c>
      <c r="M91" s="22">
        <f>+MCFS!O48</f>
        <v>3060</v>
      </c>
      <c r="N91" s="22">
        <f>+MCFS!P48</f>
        <v>260569.2</v>
      </c>
    </row>
    <row r="92" spans="1:14">
      <c r="A92" s="1" t="s">
        <v>566</v>
      </c>
      <c r="B92" s="22">
        <f>+MCFS!D83</f>
        <v>2573</v>
      </c>
      <c r="C92" s="22">
        <f>+MCFS!E83</f>
        <v>4123.7</v>
      </c>
      <c r="D92" s="22">
        <f>+MCFS!F83</f>
        <v>2906</v>
      </c>
      <c r="E92" s="22">
        <f>+MCFS!G83</f>
        <v>10171</v>
      </c>
      <c r="F92" s="22">
        <f>+MCFS!H83</f>
        <v>29356.799999999999</v>
      </c>
      <c r="G92" s="22">
        <f>+MCFS!I83</f>
        <v>62477.4</v>
      </c>
      <c r="H92" s="22">
        <f>+MCFS!J83</f>
        <v>66906.100000000006</v>
      </c>
      <c r="I92" s="22">
        <f>+MCFS!K83</f>
        <v>45267.6</v>
      </c>
      <c r="J92" s="22">
        <f>+MCFS!L83</f>
        <v>32628.7</v>
      </c>
      <c r="K92" s="22">
        <f>+MCFS!M83</f>
        <v>17344</v>
      </c>
      <c r="L92" s="22">
        <f>+MCFS!N83</f>
        <v>6402.7</v>
      </c>
      <c r="M92" s="22">
        <f>+MCFS!O83</f>
        <v>4158.8999999999996</v>
      </c>
      <c r="N92" s="22">
        <f>+MCFS!P83</f>
        <v>284315.90000000008</v>
      </c>
    </row>
    <row r="93" spans="1:14">
      <c r="A93" s="1" t="s">
        <v>567</v>
      </c>
      <c r="B93" s="22">
        <f>+MCFS!D85</f>
        <v>2573</v>
      </c>
      <c r="C93" s="22">
        <f>+MCFS!E85</f>
        <v>4123.7</v>
      </c>
      <c r="D93" s="22">
        <f>+MCFS!F85</f>
        <v>2906</v>
      </c>
      <c r="E93" s="22">
        <f>+MCFS!G85</f>
        <v>11637.809018987342</v>
      </c>
      <c r="F93" s="22">
        <f>+MCFS!H85</f>
        <v>26841.809615384613</v>
      </c>
      <c r="G93" s="22">
        <f>+MCFS!I85</f>
        <v>41815.652766393439</v>
      </c>
      <c r="H93" s="22">
        <f>+MCFS!J85</f>
        <v>53383.96121019109</v>
      </c>
      <c r="I93" s="22">
        <f>+MCFS!K85</f>
        <v>48296.552906976744</v>
      </c>
      <c r="J93" s="22">
        <f>+MCFS!L85</f>
        <v>29615.293280000002</v>
      </c>
      <c r="K93" s="22">
        <f>+MCFS!M85</f>
        <v>21162.637000000002</v>
      </c>
      <c r="L93" s="22">
        <f>+MCFS!N85</f>
        <v>6402.7</v>
      </c>
      <c r="M93" s="22">
        <f>+MCFS!O85</f>
        <v>4158.8999999999996</v>
      </c>
      <c r="N93" s="22">
        <f>+MCFS!P85</f>
        <v>252918.01579793324</v>
      </c>
    </row>
    <row r="120" spans="1:14">
      <c r="A120" s="33" t="s">
        <v>550</v>
      </c>
      <c r="B120" s="142">
        <v>40360</v>
      </c>
      <c r="C120" s="142">
        <v>40391</v>
      </c>
      <c r="D120" s="142">
        <v>40422</v>
      </c>
      <c r="E120" s="142">
        <v>40452</v>
      </c>
      <c r="F120" s="142">
        <v>40483</v>
      </c>
      <c r="G120" s="142">
        <v>40513</v>
      </c>
      <c r="H120" s="142">
        <v>40544</v>
      </c>
      <c r="I120" s="142">
        <v>40575</v>
      </c>
      <c r="J120" s="142">
        <v>40603</v>
      </c>
      <c r="K120" s="142">
        <v>40634</v>
      </c>
      <c r="L120" s="142">
        <v>40664</v>
      </c>
      <c r="M120" s="142">
        <v>40695</v>
      </c>
      <c r="N120" s="11" t="s">
        <v>758</v>
      </c>
    </row>
    <row r="121" spans="1:14">
      <c r="A121" s="1" t="s">
        <v>365</v>
      </c>
      <c r="B121" s="22">
        <f>+MCFS!D52</f>
        <v>265455.36197752296</v>
      </c>
      <c r="C121" s="22">
        <f>+MCFS!E52</f>
        <v>265455.36197752296</v>
      </c>
      <c r="D121" s="22">
        <f>+MCFS!F52</f>
        <v>311662.06562571833</v>
      </c>
      <c r="E121" s="22">
        <f>+MCFS!G52</f>
        <v>721870.19398601213</v>
      </c>
      <c r="F121" s="22">
        <f>+MCFS!H52</f>
        <v>1210292.1570913212</v>
      </c>
      <c r="G121" s="22">
        <f>+MCFS!I52</f>
        <v>1782781.1146101886</v>
      </c>
      <c r="H121" s="22">
        <f>+MCFS!J52</f>
        <v>2036344.9101704606</v>
      </c>
      <c r="I121" s="22">
        <f>+MCFS!K52</f>
        <v>1669865.9403589857</v>
      </c>
      <c r="J121" s="22">
        <f>+MCFS!L52</f>
        <v>1336508.8344241108</v>
      </c>
      <c r="K121" s="22">
        <f>+MCFS!M52</f>
        <v>772133.91836317175</v>
      </c>
      <c r="L121" s="22">
        <f>+MCFS!N52</f>
        <v>427736.19113609678</v>
      </c>
      <c r="M121" s="22">
        <f>+MCFS!O52</f>
        <v>256892.28578469966</v>
      </c>
      <c r="N121" s="22">
        <f>+MCFS!P52</f>
        <v>11056998.335505811</v>
      </c>
    </row>
    <row r="122" spans="1:14">
      <c r="A122" s="1" t="s">
        <v>363</v>
      </c>
      <c r="B122" s="22">
        <f>+MCFS!D87</f>
        <v>238580.8</v>
      </c>
      <c r="C122" s="22">
        <f>+MCFS!E87</f>
        <v>254773.5</v>
      </c>
      <c r="D122" s="22">
        <f>+MCFS!F87</f>
        <v>279880</v>
      </c>
      <c r="E122" s="22">
        <f>+MCFS!G87</f>
        <v>504923</v>
      </c>
      <c r="F122" s="22">
        <f>+MCFS!H87</f>
        <v>1182529.3</v>
      </c>
      <c r="G122" s="22">
        <f>+MCFS!I87</f>
        <v>2571218.2000000002</v>
      </c>
      <c r="H122" s="22">
        <f>+MCFS!J87</f>
        <v>2556244</v>
      </c>
      <c r="I122" s="22">
        <f>+MCFS!K87</f>
        <v>1644464.4000000001</v>
      </c>
      <c r="J122" s="22">
        <f>+MCFS!L87</f>
        <v>1338733.7999999998</v>
      </c>
      <c r="K122" s="22">
        <f>+MCFS!M87</f>
        <v>635148.20000000007</v>
      </c>
      <c r="L122" s="22">
        <f>+MCFS!N87</f>
        <v>360199.8</v>
      </c>
      <c r="M122" s="22">
        <f>+MCFS!O87</f>
        <v>278060.90000000002</v>
      </c>
      <c r="N122" s="22">
        <f>+MCFS!P87</f>
        <v>11844755.9</v>
      </c>
    </row>
    <row r="123" spans="1:14">
      <c r="A123" s="1" t="s">
        <v>364</v>
      </c>
      <c r="B123" s="22">
        <f>+MCFS!D89</f>
        <v>238580.8</v>
      </c>
      <c r="C123" s="22">
        <f>+MCFS!E89</f>
        <v>254773.5</v>
      </c>
      <c r="D123" s="22">
        <f>+MCFS!F89</f>
        <v>279880</v>
      </c>
      <c r="E123" s="22">
        <f>+MCFS!G89</f>
        <v>556939.93834388186</v>
      </c>
      <c r="F123" s="22">
        <f>+MCFS!H89</f>
        <v>1093607.7102564101</v>
      </c>
      <c r="G123" s="22">
        <f>+MCFS!I89</f>
        <v>1764821.0053073771</v>
      </c>
      <c r="H123" s="22">
        <f>+MCFS!J89</f>
        <v>2068361.9175106157</v>
      </c>
      <c r="I123" s="22">
        <f>+MCFS!K89</f>
        <v>1744313.1750298152</v>
      </c>
      <c r="J123" s="22">
        <f>+MCFS!L89</f>
        <v>1228040.5229866668</v>
      </c>
      <c r="K123" s="22">
        <f>+MCFS!M89</f>
        <v>737047.12699999998</v>
      </c>
      <c r="L123" s="22">
        <f>+MCFS!N89</f>
        <v>360199.8</v>
      </c>
      <c r="M123" s="22">
        <f>+MCFS!O89</f>
        <v>278060.90000000002</v>
      </c>
      <c r="N123" s="22">
        <f>+MCFS!P89</f>
        <v>10604626.396434769</v>
      </c>
    </row>
    <row r="150" spans="1:14">
      <c r="A150" s="33" t="s">
        <v>574</v>
      </c>
      <c r="B150" s="142">
        <v>40360</v>
      </c>
      <c r="C150" s="142">
        <v>40391</v>
      </c>
      <c r="D150" s="142">
        <v>40422</v>
      </c>
      <c r="E150" s="142">
        <v>40452</v>
      </c>
      <c r="F150" s="142">
        <v>40483</v>
      </c>
      <c r="G150" s="142">
        <v>40513</v>
      </c>
      <c r="H150" s="142">
        <v>40544</v>
      </c>
      <c r="I150" s="142">
        <v>40575</v>
      </c>
      <c r="J150" s="142">
        <v>40603</v>
      </c>
      <c r="K150" s="142">
        <v>40634</v>
      </c>
      <c r="L150" s="142">
        <v>40664</v>
      </c>
      <c r="M150" s="142">
        <v>40695</v>
      </c>
      <c r="N150" s="11" t="s">
        <v>758</v>
      </c>
    </row>
    <row r="151" spans="1:14">
      <c r="A151" s="1" t="s">
        <v>575</v>
      </c>
      <c r="B151" s="22">
        <f>+MCFS!D54</f>
        <v>20400</v>
      </c>
      <c r="C151" s="22">
        <f>+MCFS!E54</f>
        <v>19000</v>
      </c>
      <c r="D151" s="22">
        <f>+MCFS!F54</f>
        <v>19200</v>
      </c>
      <c r="E151" s="22">
        <f>+MCFS!G54</f>
        <v>16600</v>
      </c>
      <c r="F151" s="22">
        <f>+MCFS!H54</f>
        <v>27500</v>
      </c>
      <c r="G151" s="22">
        <f>+MCFS!I54</f>
        <v>36700</v>
      </c>
      <c r="H151" s="22">
        <f>+MCFS!J54</f>
        <v>43100</v>
      </c>
      <c r="I151" s="22">
        <f>+MCFS!K54</f>
        <v>33300</v>
      </c>
      <c r="J151" s="22">
        <f>+MCFS!L54</f>
        <v>26200</v>
      </c>
      <c r="K151" s="22">
        <f>+MCFS!M54</f>
        <v>29200</v>
      </c>
      <c r="L151" s="22">
        <f>+MCFS!N54</f>
        <v>11800</v>
      </c>
      <c r="M151" s="22">
        <f>+MCFS!O54</f>
        <v>11300</v>
      </c>
      <c r="N151" s="22">
        <f>+MCFS!P54</f>
        <v>294300</v>
      </c>
    </row>
    <row r="152" spans="1:14">
      <c r="A152" s="1" t="s">
        <v>576</v>
      </c>
      <c r="B152" s="22">
        <f>+MCFS!D91</f>
        <v>20837</v>
      </c>
      <c r="C152" s="22">
        <f>+MCFS!E91</f>
        <v>25239.3</v>
      </c>
      <c r="D152" s="22">
        <f>+MCFS!F91</f>
        <v>24664</v>
      </c>
      <c r="E152" s="22">
        <f>+MCFS!G91</f>
        <v>18544</v>
      </c>
      <c r="F152" s="22">
        <f>+MCFS!H91</f>
        <v>17268</v>
      </c>
      <c r="G152" s="22">
        <f>+MCFS!I91</f>
        <v>36204.5</v>
      </c>
      <c r="H152" s="22">
        <f>+MCFS!J91</f>
        <v>33109.599999999999</v>
      </c>
      <c r="I152" s="22">
        <f>+MCFS!K91</f>
        <v>25564.6</v>
      </c>
      <c r="J152" s="22">
        <f>+MCFS!L91</f>
        <v>21974.6</v>
      </c>
      <c r="K152" s="22">
        <f>+MCFS!M91</f>
        <v>13260.7</v>
      </c>
      <c r="L152" s="22">
        <f>+MCFS!N91</f>
        <v>15609.8</v>
      </c>
      <c r="M152" s="22">
        <f>+MCFS!O91</f>
        <v>15391.6</v>
      </c>
      <c r="N152" s="22">
        <f>+MCFS!P91</f>
        <v>267667.7</v>
      </c>
    </row>
    <row r="153" spans="1:14">
      <c r="A153" s="1" t="s">
        <v>577</v>
      </c>
      <c r="B153" s="22">
        <f>+MCFS!D93</f>
        <v>20837</v>
      </c>
      <c r="C153" s="22">
        <f>+MCFS!E93</f>
        <v>25239.3</v>
      </c>
      <c r="D153" s="22">
        <f>+MCFS!F93</f>
        <v>24664</v>
      </c>
      <c r="E153" s="22">
        <f>+MCFS!G93</f>
        <v>17484.187816455695</v>
      </c>
      <c r="F153" s="22">
        <f>+MCFS!H93</f>
        <v>17874.932692307695</v>
      </c>
      <c r="G153" s="22">
        <f>+MCFS!I93</f>
        <v>31804.068770491802</v>
      </c>
      <c r="H153" s="22">
        <f>+MCFS!J93</f>
        <v>31086.857404458598</v>
      </c>
      <c r="I153" s="22">
        <f>+MCFS!K93</f>
        <v>25707.49110017889</v>
      </c>
      <c r="J153" s="22">
        <f>+MCFS!L93</f>
        <v>22139.003199999999</v>
      </c>
      <c r="K153" s="22">
        <f>+MCFS!M93</f>
        <v>10474.462</v>
      </c>
      <c r="L153" s="22">
        <f>+MCFS!N93</f>
        <v>15609.8</v>
      </c>
      <c r="M153" s="22">
        <f>+MCFS!O93</f>
        <v>15391.6</v>
      </c>
      <c r="N153" s="22">
        <f>+MCFS!P93</f>
        <v>258312.7029838927</v>
      </c>
    </row>
    <row r="180" spans="1:14">
      <c r="A180" s="33" t="s">
        <v>578</v>
      </c>
      <c r="B180" s="142">
        <v>40360</v>
      </c>
      <c r="C180" s="142">
        <v>40391</v>
      </c>
      <c r="D180" s="142">
        <v>40422</v>
      </c>
      <c r="E180" s="142">
        <v>40452</v>
      </c>
      <c r="F180" s="142">
        <v>40483</v>
      </c>
      <c r="G180" s="142">
        <v>40513</v>
      </c>
      <c r="H180" s="142">
        <v>40544</v>
      </c>
      <c r="I180" s="142">
        <v>40575</v>
      </c>
      <c r="J180" s="142">
        <v>40603</v>
      </c>
      <c r="K180" s="142">
        <v>40634</v>
      </c>
      <c r="L180" s="142">
        <v>40664</v>
      </c>
      <c r="M180" s="142">
        <v>40695</v>
      </c>
      <c r="N180" s="11" t="s">
        <v>758</v>
      </c>
    </row>
    <row r="181" spans="1:14">
      <c r="A181" s="1" t="s">
        <v>579</v>
      </c>
      <c r="B181" s="22">
        <f>+MCFS!D58</f>
        <v>200000</v>
      </c>
      <c r="C181" s="22">
        <f>+MCFS!E58</f>
        <v>195000</v>
      </c>
      <c r="D181" s="22">
        <f>+MCFS!F58</f>
        <v>177500</v>
      </c>
      <c r="E181" s="22">
        <f>+MCFS!G58</f>
        <v>280000</v>
      </c>
      <c r="F181" s="22">
        <f>+MCFS!H58</f>
        <v>280000</v>
      </c>
      <c r="G181" s="22">
        <f>+MCFS!I58</f>
        <v>335000</v>
      </c>
      <c r="H181" s="22">
        <f>+MCFS!J58</f>
        <v>340000</v>
      </c>
      <c r="I181" s="22">
        <f>+MCFS!K58</f>
        <v>300000</v>
      </c>
      <c r="J181" s="22">
        <f>+MCFS!L58</f>
        <v>275000</v>
      </c>
      <c r="K181" s="22">
        <f>+MCFS!M58</f>
        <v>260000</v>
      </c>
      <c r="L181" s="22">
        <f>+MCFS!N58</f>
        <v>220000</v>
      </c>
      <c r="M181" s="22">
        <f>+MCFS!O58</f>
        <v>194500</v>
      </c>
      <c r="N181" s="22">
        <f>+MCFS!P58</f>
        <v>3057000</v>
      </c>
    </row>
    <row r="182" spans="1:14">
      <c r="A182" s="1" t="s">
        <v>580</v>
      </c>
      <c r="B182" s="22">
        <f>+MCFS!D95</f>
        <v>200499</v>
      </c>
      <c r="C182" s="22">
        <f>+MCFS!E95</f>
        <v>203707</v>
      </c>
      <c r="D182" s="22">
        <f>+MCFS!F95</f>
        <v>223220</v>
      </c>
      <c r="E182" s="22">
        <f>+MCFS!G95</f>
        <v>254221</v>
      </c>
      <c r="F182" s="22">
        <f>+MCFS!H95</f>
        <v>311905.8</v>
      </c>
      <c r="G182" s="22">
        <f>+MCFS!I95</f>
        <v>383332.1</v>
      </c>
      <c r="H182" s="22">
        <f>+MCFS!J95</f>
        <v>411637.4</v>
      </c>
      <c r="I182" s="22">
        <f>+MCFS!K95</f>
        <v>326869.7</v>
      </c>
      <c r="J182" s="22">
        <f>+MCFS!L95</f>
        <v>297116.59999999998</v>
      </c>
      <c r="K182" s="22">
        <f>+MCFS!M95</f>
        <v>315843.3</v>
      </c>
      <c r="L182" s="22">
        <f>+MCFS!N95</f>
        <v>225450.8</v>
      </c>
      <c r="M182" s="22">
        <f>+MCFS!O95</f>
        <v>205799.4</v>
      </c>
      <c r="N182" s="22">
        <f>+MCFS!P95</f>
        <v>3359602.0999999996</v>
      </c>
    </row>
    <row r="183" spans="1:14">
      <c r="A183" s="1" t="s">
        <v>581</v>
      </c>
      <c r="B183" s="22">
        <f>+MCFS!D97</f>
        <v>200499</v>
      </c>
      <c r="C183" s="22">
        <f>+MCFS!E97</f>
        <v>203707</v>
      </c>
      <c r="D183" s="22">
        <f>+MCFS!F97</f>
        <v>223220</v>
      </c>
      <c r="E183" s="22">
        <f>+MCFS!G97</f>
        <v>263707.56170886074</v>
      </c>
      <c r="F183" s="22">
        <f>+MCFS!H97</f>
        <v>302024.66538461536</v>
      </c>
      <c r="G183" s="22">
        <f>+MCFS!I97</f>
        <v>322615.42784836062</v>
      </c>
      <c r="H183" s="22">
        <f>+MCFS!J97</f>
        <v>368655.4942356688</v>
      </c>
      <c r="I183" s="22">
        <f>+MCFS!K97</f>
        <v>335346.51560822898</v>
      </c>
      <c r="J183" s="22">
        <f>+MCFS!L97</f>
        <v>288108.00095999998</v>
      </c>
      <c r="K183" s="22">
        <f>+MCFS!M97</f>
        <v>344652.65099999995</v>
      </c>
      <c r="L183" s="22">
        <f>+MCFS!N97</f>
        <v>225450.8</v>
      </c>
      <c r="M183" s="22">
        <f>+MCFS!O97</f>
        <v>205799.4</v>
      </c>
      <c r="N183" s="22">
        <f>+MCFS!P97</f>
        <v>3283786.516745734</v>
      </c>
    </row>
    <row r="210" spans="1:14">
      <c r="A210" s="33" t="s">
        <v>582</v>
      </c>
      <c r="B210" s="142">
        <v>40360</v>
      </c>
      <c r="C210" s="142">
        <v>40391</v>
      </c>
      <c r="D210" s="142">
        <v>40422</v>
      </c>
      <c r="E210" s="142">
        <v>40452</v>
      </c>
      <c r="F210" s="142">
        <v>40483</v>
      </c>
      <c r="G210" s="142">
        <v>40513</v>
      </c>
      <c r="H210" s="142">
        <v>40544</v>
      </c>
      <c r="I210" s="142">
        <v>40575</v>
      </c>
      <c r="J210" s="142">
        <v>40603</v>
      </c>
      <c r="K210" s="142">
        <v>40634</v>
      </c>
      <c r="L210" s="142">
        <v>40664</v>
      </c>
      <c r="M210" s="142">
        <v>40695</v>
      </c>
      <c r="N210" s="11" t="s">
        <v>758</v>
      </c>
    </row>
    <row r="211" spans="1:14">
      <c r="A211" s="1" t="s">
        <v>583</v>
      </c>
      <c r="B211" s="22">
        <f>+MCFS!D62</f>
        <v>220400</v>
      </c>
      <c r="C211" s="22">
        <f>+MCFS!E62</f>
        <v>214000</v>
      </c>
      <c r="D211" s="22">
        <f>+MCFS!F62</f>
        <v>196700</v>
      </c>
      <c r="E211" s="22">
        <f>+MCFS!G62</f>
        <v>296600</v>
      </c>
      <c r="F211" s="22">
        <f>+MCFS!H62</f>
        <v>307500</v>
      </c>
      <c r="G211" s="22">
        <f>+MCFS!I62</f>
        <v>371700</v>
      </c>
      <c r="H211" s="22">
        <f>+MCFS!J62</f>
        <v>383100</v>
      </c>
      <c r="I211" s="22">
        <f>+MCFS!K62</f>
        <v>333300</v>
      </c>
      <c r="J211" s="22">
        <f>+MCFS!L62</f>
        <v>301200</v>
      </c>
      <c r="K211" s="22">
        <f>+MCFS!M62</f>
        <v>289200</v>
      </c>
      <c r="L211" s="22">
        <f>+MCFS!N62</f>
        <v>231800</v>
      </c>
      <c r="M211" s="22">
        <f>+MCFS!O62</f>
        <v>205800</v>
      </c>
      <c r="N211" s="22">
        <f>+MCFS!P62</f>
        <v>3351300</v>
      </c>
    </row>
    <row r="212" spans="1:14">
      <c r="A212" s="1" t="s">
        <v>584</v>
      </c>
      <c r="B212" s="22">
        <f>+MCFS!D99</f>
        <v>221336</v>
      </c>
      <c r="C212" s="22">
        <f>+MCFS!E99</f>
        <v>228946.3</v>
      </c>
      <c r="D212" s="22">
        <f>+MCFS!F99</f>
        <v>247884</v>
      </c>
      <c r="E212" s="22">
        <f>+MCFS!G99</f>
        <v>272765</v>
      </c>
      <c r="F212" s="22">
        <f>+MCFS!H99</f>
        <v>329173.8</v>
      </c>
      <c r="G212" s="22">
        <f>+MCFS!I99</f>
        <v>419536.6</v>
      </c>
      <c r="H212" s="22">
        <f>+MCFS!J99</f>
        <v>444747</v>
      </c>
      <c r="I212" s="22">
        <f>+MCFS!K99</f>
        <v>352434.3</v>
      </c>
      <c r="J212" s="22">
        <f>+MCFS!L99</f>
        <v>319091.19999999995</v>
      </c>
      <c r="K212" s="22">
        <f>+MCFS!M99</f>
        <v>329104</v>
      </c>
      <c r="L212" s="22">
        <f>+MCFS!N99</f>
        <v>241060.59999999998</v>
      </c>
      <c r="M212" s="22">
        <f>+MCFS!O99</f>
        <v>221191</v>
      </c>
      <c r="N212" s="22">
        <f>+MCFS!P99</f>
        <v>3627269.8000000003</v>
      </c>
    </row>
    <row r="213" spans="1:14">
      <c r="A213" s="1" t="s">
        <v>585</v>
      </c>
      <c r="B213" s="22">
        <f>+MCFS!D101</f>
        <v>221336</v>
      </c>
      <c r="C213" s="22">
        <f>+MCFS!E101</f>
        <v>228946.3</v>
      </c>
      <c r="D213" s="22">
        <f>+MCFS!F101</f>
        <v>247884</v>
      </c>
      <c r="E213" s="22">
        <f>+MCFS!G101</f>
        <v>281191.74952531641</v>
      </c>
      <c r="F213" s="22">
        <f>+MCFS!H101</f>
        <v>319899.59807692305</v>
      </c>
      <c r="G213" s="22">
        <f>+MCFS!I101</f>
        <v>354419.49661885243</v>
      </c>
      <c r="H213" s="22">
        <f>+MCFS!J101</f>
        <v>399742.35164012737</v>
      </c>
      <c r="I213" s="22">
        <f>+MCFS!K101</f>
        <v>361054.00670840789</v>
      </c>
      <c r="J213" s="22">
        <f>+MCFS!L101</f>
        <v>310247.00415999995</v>
      </c>
      <c r="K213" s="22">
        <f>+MCFS!M101</f>
        <v>355127.11299999995</v>
      </c>
      <c r="L213" s="22">
        <f>+MCFS!N101</f>
        <v>241060.59999999998</v>
      </c>
      <c r="M213" s="22">
        <f>+MCFS!O101</f>
        <v>221191</v>
      </c>
      <c r="N213" s="22">
        <f>+MCFS!P101</f>
        <v>3542099.2197296275</v>
      </c>
    </row>
    <row r="240" spans="1:14">
      <c r="A240" s="33" t="s">
        <v>586</v>
      </c>
      <c r="B240" s="142">
        <v>40360</v>
      </c>
      <c r="C240" s="142">
        <v>40391</v>
      </c>
      <c r="D240" s="142">
        <v>40422</v>
      </c>
      <c r="E240" s="142">
        <v>40452</v>
      </c>
      <c r="F240" s="142">
        <v>40483</v>
      </c>
      <c r="G240" s="142">
        <v>40513</v>
      </c>
      <c r="H240" s="142">
        <v>40544</v>
      </c>
      <c r="I240" s="142">
        <v>40575</v>
      </c>
      <c r="J240" s="142">
        <v>40603</v>
      </c>
      <c r="K240" s="142">
        <v>40634</v>
      </c>
      <c r="L240" s="142">
        <v>40664</v>
      </c>
      <c r="M240" s="142">
        <v>40695</v>
      </c>
      <c r="N240" s="11" t="s">
        <v>758</v>
      </c>
    </row>
    <row r="241" spans="1:14">
      <c r="A241" s="1" t="s">
        <v>587</v>
      </c>
      <c r="B241" s="22">
        <f>+MCFS!D66</f>
        <v>485855.36197752296</v>
      </c>
      <c r="C241" s="22">
        <f>+MCFS!E66</f>
        <v>479455.36197752296</v>
      </c>
      <c r="D241" s="22">
        <f>+MCFS!F66</f>
        <v>508362.06562571833</v>
      </c>
      <c r="E241" s="22">
        <f>+MCFS!G66</f>
        <v>1018470.1939860121</v>
      </c>
      <c r="F241" s="22">
        <f>+MCFS!H66</f>
        <v>1517792.1570913212</v>
      </c>
      <c r="G241" s="22">
        <f>+MCFS!I66</f>
        <v>2154481.1146101886</v>
      </c>
      <c r="H241" s="22">
        <f>+MCFS!J66</f>
        <v>2419444.9101704606</v>
      </c>
      <c r="I241" s="22">
        <f>+MCFS!K66</f>
        <v>2003165.9403589857</v>
      </c>
      <c r="J241" s="22">
        <f>+MCFS!L66</f>
        <v>1637708.8344241108</v>
      </c>
      <c r="K241" s="22">
        <f>+MCFS!M66</f>
        <v>1061333.9183631716</v>
      </c>
      <c r="L241" s="22">
        <f>+MCFS!N66</f>
        <v>659536.19113609684</v>
      </c>
      <c r="M241" s="22">
        <f>+MCFS!O66</f>
        <v>462692.28578469966</v>
      </c>
      <c r="N241" s="22">
        <f>+MCFS!P66</f>
        <v>14408298.335505811</v>
      </c>
    </row>
    <row r="242" spans="1:14">
      <c r="A242" s="1" t="s">
        <v>588</v>
      </c>
      <c r="B242" s="22">
        <f>+MCFS!D103</f>
        <v>459916.79999999999</v>
      </c>
      <c r="C242" s="22">
        <f>+MCFS!E103</f>
        <v>483719.8</v>
      </c>
      <c r="D242" s="22">
        <f>+MCFS!F103</f>
        <v>527764</v>
      </c>
      <c r="E242" s="22">
        <f>+MCFS!G103</f>
        <v>777688</v>
      </c>
      <c r="F242" s="22">
        <f>+MCFS!H103</f>
        <v>1511703.1</v>
      </c>
      <c r="G242" s="22">
        <f>+MCFS!I103</f>
        <v>2990754.8000000003</v>
      </c>
      <c r="H242" s="22">
        <f>+MCFS!J103</f>
        <v>3000991</v>
      </c>
      <c r="I242" s="22">
        <f>+MCFS!K103</f>
        <v>1996898.7000000002</v>
      </c>
      <c r="J242" s="22">
        <f>+MCFS!L103</f>
        <v>1657824.9999999998</v>
      </c>
      <c r="K242" s="22">
        <f>+MCFS!M103</f>
        <v>964252.20000000007</v>
      </c>
      <c r="L242" s="22">
        <f>+MCFS!N103</f>
        <v>601260.39999999991</v>
      </c>
      <c r="M242" s="22">
        <f>+MCFS!O103</f>
        <v>499251.9</v>
      </c>
      <c r="N242" s="22">
        <f>+MCFS!P103</f>
        <v>15472025.699999999</v>
      </c>
    </row>
    <row r="243" spans="1:14">
      <c r="A243" s="1" t="s">
        <v>589</v>
      </c>
      <c r="B243" s="22">
        <f>+MCFS!D105</f>
        <v>459916.79999999999</v>
      </c>
      <c r="C243" s="22">
        <f>+MCFS!E105</f>
        <v>483719.8</v>
      </c>
      <c r="D243" s="22">
        <f>+MCFS!F105</f>
        <v>527764</v>
      </c>
      <c r="E243" s="22">
        <f>+MCFS!G105</f>
        <v>838131.68786919827</v>
      </c>
      <c r="F243" s="22">
        <f>+MCFS!H105</f>
        <v>1413507.3083333331</v>
      </c>
      <c r="G243" s="22">
        <f>+MCFS!I105</f>
        <v>2119240.5019262293</v>
      </c>
      <c r="H243" s="22">
        <f>+MCFS!J105</f>
        <v>2468104.2691507433</v>
      </c>
      <c r="I243" s="22">
        <f>+MCFS!K105</f>
        <v>2105367.1817382229</v>
      </c>
      <c r="J243" s="22">
        <f>+MCFS!L105</f>
        <v>1538287.5271466668</v>
      </c>
      <c r="K243" s="22">
        <f>+MCFS!M105</f>
        <v>1092174.24</v>
      </c>
      <c r="L243" s="22">
        <f>+MCFS!N105</f>
        <v>601260.39999999991</v>
      </c>
      <c r="M243" s="22">
        <f>+MCFS!O105</f>
        <v>499251.9</v>
      </c>
      <c r="N243" s="22">
        <f>+MCFS!P105</f>
        <v>14146725.616164396</v>
      </c>
    </row>
    <row r="275" spans="1:15">
      <c r="A275" s="33" t="s">
        <v>721</v>
      </c>
      <c r="B275" s="142">
        <v>40360</v>
      </c>
      <c r="C275" s="142">
        <v>40391</v>
      </c>
      <c r="D275" s="142">
        <v>40422</v>
      </c>
      <c r="E275" s="142">
        <v>40452</v>
      </c>
      <c r="F275" s="142">
        <v>40483</v>
      </c>
      <c r="G275" s="142">
        <v>40513</v>
      </c>
      <c r="H275" s="142">
        <v>40544</v>
      </c>
      <c r="I275" s="142">
        <v>40575</v>
      </c>
      <c r="J275" s="142">
        <v>40603</v>
      </c>
      <c r="K275" s="142">
        <v>40634</v>
      </c>
      <c r="L275" s="142">
        <v>40664</v>
      </c>
      <c r="M275" s="142">
        <v>40695</v>
      </c>
      <c r="N275" s="11" t="s">
        <v>758</v>
      </c>
    </row>
    <row r="276" spans="1:15">
      <c r="A276" s="1" t="s">
        <v>361</v>
      </c>
      <c r="B276" s="22">
        <f>B2</f>
        <v>122706.163535427</v>
      </c>
      <c r="C276" s="22">
        <f t="shared" ref="C276:M276" si="0">C2</f>
        <v>122706.163535427</v>
      </c>
      <c r="D276" s="22">
        <f t="shared" si="0"/>
        <v>152921.97592089153</v>
      </c>
      <c r="E276" s="22">
        <f t="shared" si="0"/>
        <v>407490.12791306869</v>
      </c>
      <c r="F276" s="22">
        <f t="shared" si="0"/>
        <v>713629.95911775937</v>
      </c>
      <c r="G276" s="22">
        <f t="shared" si="0"/>
        <v>1069454.6317775422</v>
      </c>
      <c r="H276" s="22">
        <f t="shared" si="0"/>
        <v>1227667.9453206768</v>
      </c>
      <c r="I276" s="22">
        <f t="shared" si="0"/>
        <v>1003154.4618991468</v>
      </c>
      <c r="J276" s="22">
        <f t="shared" si="0"/>
        <v>790999.19994162617</v>
      </c>
      <c r="K276" s="22">
        <f t="shared" si="0"/>
        <v>326500.7</v>
      </c>
      <c r="L276" s="22">
        <f t="shared" si="0"/>
        <v>223962.6842030329</v>
      </c>
      <c r="M276" s="22">
        <f t="shared" si="0"/>
        <v>118747.90019557452</v>
      </c>
      <c r="N276" s="22">
        <f>SUM(B276:M276)</f>
        <v>6279941.9133601729</v>
      </c>
      <c r="O276" s="124">
        <f>N276/$N$282</f>
        <v>0.43932385287366121</v>
      </c>
    </row>
    <row r="277" spans="1:15">
      <c r="A277" s="1" t="s">
        <v>716</v>
      </c>
      <c r="B277" s="22">
        <f>+B31</f>
        <v>67961.698442095978</v>
      </c>
      <c r="C277" s="22">
        <f t="shared" ref="C277:M277" si="1">+C31</f>
        <v>67961.698442095978</v>
      </c>
      <c r="D277" s="22">
        <f t="shared" si="1"/>
        <v>79597.134704826822</v>
      </c>
      <c r="E277" s="22">
        <f t="shared" si="1"/>
        <v>183192.94107294339</v>
      </c>
      <c r="F277" s="22">
        <f t="shared" si="1"/>
        <v>306474.64797356189</v>
      </c>
      <c r="G277" s="22">
        <f t="shared" si="1"/>
        <v>451041.56283264642</v>
      </c>
      <c r="H277" s="22">
        <f t="shared" si="1"/>
        <v>515058.91984978388</v>
      </c>
      <c r="I277" s="22">
        <f t="shared" si="1"/>
        <v>422442.65345983859</v>
      </c>
      <c r="J277" s="22">
        <f t="shared" si="1"/>
        <v>338371.01448248455</v>
      </c>
      <c r="K277" s="22">
        <f t="shared" si="1"/>
        <v>195852.65504794841</v>
      </c>
      <c r="L277" s="22">
        <f t="shared" si="1"/>
        <v>108932.80693306393</v>
      </c>
      <c r="M277" s="22">
        <f t="shared" si="1"/>
        <v>65769.38558912513</v>
      </c>
      <c r="N277" s="22">
        <f t="shared" ref="N277:N284" si="2">SUM(B277:M277)</f>
        <v>2802657.118830415</v>
      </c>
      <c r="O277" s="124">
        <f t="shared" ref="O277:O284" si="3">N277/$N$282</f>
        <v>0.19606457204785857</v>
      </c>
    </row>
    <row r="278" spans="1:15">
      <c r="A278" s="1" t="s">
        <v>103</v>
      </c>
      <c r="B278" s="22">
        <f>B61</f>
        <v>71625.5</v>
      </c>
      <c r="C278" s="22">
        <f t="shared" ref="C278:M278" si="4">C61</f>
        <v>71625.5</v>
      </c>
      <c r="D278" s="22">
        <f t="shared" si="4"/>
        <v>74540.714999999997</v>
      </c>
      <c r="E278" s="22">
        <f t="shared" si="4"/>
        <v>115173.125</v>
      </c>
      <c r="F278" s="22">
        <f t="shared" si="4"/>
        <v>160281.15</v>
      </c>
      <c r="G278" s="22">
        <f t="shared" si="4"/>
        <v>216397.15999999997</v>
      </c>
      <c r="H278" s="22">
        <f t="shared" si="4"/>
        <v>240590.28499999997</v>
      </c>
      <c r="I278" s="22">
        <f t="shared" si="4"/>
        <v>201143.22500000001</v>
      </c>
      <c r="J278" s="22">
        <f t="shared" si="4"/>
        <v>173817.26</v>
      </c>
      <c r="K278" s="22">
        <f t="shared" si="4"/>
        <v>118475.43</v>
      </c>
      <c r="L278" s="22">
        <f t="shared" si="4"/>
        <v>87109.1</v>
      </c>
      <c r="M278" s="22">
        <f t="shared" si="4"/>
        <v>69315</v>
      </c>
      <c r="N278" s="22">
        <f t="shared" si="2"/>
        <v>1600093.45</v>
      </c>
      <c r="O278" s="124">
        <f t="shared" si="3"/>
        <v>0.11193721679437964</v>
      </c>
    </row>
    <row r="279" spans="1:15">
      <c r="A279" s="1" t="s">
        <v>717</v>
      </c>
      <c r="B279" s="22">
        <f>B91</f>
        <v>3162</v>
      </c>
      <c r="C279" s="22">
        <f t="shared" ref="C279:M279" si="5">C91</f>
        <v>3162</v>
      </c>
      <c r="D279" s="22">
        <f t="shared" si="5"/>
        <v>4602.24</v>
      </c>
      <c r="E279" s="22">
        <f t="shared" si="5"/>
        <v>16014</v>
      </c>
      <c r="F279" s="22">
        <f t="shared" si="5"/>
        <v>29906.400000000001</v>
      </c>
      <c r="G279" s="22">
        <f t="shared" si="5"/>
        <v>45887.76</v>
      </c>
      <c r="H279" s="22">
        <f t="shared" si="5"/>
        <v>53027.76</v>
      </c>
      <c r="I279" s="22">
        <f t="shared" si="5"/>
        <v>43125.599999999999</v>
      </c>
      <c r="J279" s="22">
        <f t="shared" si="5"/>
        <v>33321.360000000001</v>
      </c>
      <c r="K279" s="22">
        <f t="shared" si="5"/>
        <v>17568.480000000003</v>
      </c>
      <c r="L279" s="22">
        <f t="shared" si="5"/>
        <v>7731.6</v>
      </c>
      <c r="M279" s="22">
        <f t="shared" si="5"/>
        <v>3060</v>
      </c>
      <c r="N279" s="22">
        <f t="shared" si="2"/>
        <v>260569.2</v>
      </c>
      <c r="O279" s="124">
        <f t="shared" si="3"/>
        <v>1.8228554732436453E-2</v>
      </c>
    </row>
    <row r="280" spans="1:15">
      <c r="A280" s="1" t="s">
        <v>718</v>
      </c>
      <c r="B280" s="22">
        <f>B151</f>
        <v>20400</v>
      </c>
      <c r="C280" s="22">
        <f t="shared" ref="C280:M280" si="6">C151</f>
        <v>19000</v>
      </c>
      <c r="D280" s="22">
        <f t="shared" si="6"/>
        <v>19200</v>
      </c>
      <c r="E280" s="22">
        <f t="shared" si="6"/>
        <v>16600</v>
      </c>
      <c r="F280" s="22">
        <f t="shared" si="6"/>
        <v>27500</v>
      </c>
      <c r="G280" s="22">
        <f t="shared" si="6"/>
        <v>36700</v>
      </c>
      <c r="H280" s="22">
        <f t="shared" si="6"/>
        <v>43100</v>
      </c>
      <c r="I280" s="22">
        <f t="shared" si="6"/>
        <v>33300</v>
      </c>
      <c r="J280" s="22">
        <f t="shared" si="6"/>
        <v>26200</v>
      </c>
      <c r="K280" s="22">
        <f t="shared" si="6"/>
        <v>29200</v>
      </c>
      <c r="L280" s="22">
        <f t="shared" si="6"/>
        <v>11800</v>
      </c>
      <c r="M280" s="22">
        <f t="shared" si="6"/>
        <v>11300</v>
      </c>
      <c r="N280" s="22">
        <f t="shared" si="2"/>
        <v>294300</v>
      </c>
      <c r="O280" s="124">
        <f t="shared" si="3"/>
        <v>2.0588249331678677E-2</v>
      </c>
    </row>
    <row r="281" spans="1:15">
      <c r="A281" s="1" t="s">
        <v>104</v>
      </c>
      <c r="B281" s="22">
        <f>B181</f>
        <v>200000</v>
      </c>
      <c r="C281" s="22">
        <f t="shared" ref="C281:M281" si="7">C181</f>
        <v>195000</v>
      </c>
      <c r="D281" s="22">
        <f t="shared" si="7"/>
        <v>177500</v>
      </c>
      <c r="E281" s="22">
        <f t="shared" si="7"/>
        <v>280000</v>
      </c>
      <c r="F281" s="22">
        <f t="shared" si="7"/>
        <v>280000</v>
      </c>
      <c r="G281" s="22">
        <f t="shared" si="7"/>
        <v>335000</v>
      </c>
      <c r="H281" s="22">
        <f t="shared" si="7"/>
        <v>340000</v>
      </c>
      <c r="I281" s="22">
        <f t="shared" si="7"/>
        <v>300000</v>
      </c>
      <c r="J281" s="22">
        <f t="shared" si="7"/>
        <v>275000</v>
      </c>
      <c r="K281" s="22">
        <f t="shared" si="7"/>
        <v>260000</v>
      </c>
      <c r="L281" s="22">
        <f t="shared" si="7"/>
        <v>220000</v>
      </c>
      <c r="M281" s="22">
        <f t="shared" si="7"/>
        <v>194500</v>
      </c>
      <c r="N281" s="22">
        <f t="shared" si="2"/>
        <v>3057000</v>
      </c>
      <c r="O281" s="124">
        <f t="shared" si="3"/>
        <v>0.21385755421998545</v>
      </c>
    </row>
    <row r="282" spans="1:15">
      <c r="A282" s="1" t="s">
        <v>0</v>
      </c>
      <c r="B282" s="22">
        <f>SUM(B276:B281)</f>
        <v>485855.36197752296</v>
      </c>
      <c r="C282" s="22">
        <f t="shared" ref="C282:M282" si="8">SUM(C276:C281)</f>
        <v>479455.36197752296</v>
      </c>
      <c r="D282" s="22">
        <f t="shared" si="8"/>
        <v>508362.06562571833</v>
      </c>
      <c r="E282" s="22">
        <f t="shared" si="8"/>
        <v>1018470.1939860121</v>
      </c>
      <c r="F282" s="22">
        <f t="shared" si="8"/>
        <v>1517792.1570913212</v>
      </c>
      <c r="G282" s="22">
        <f t="shared" si="8"/>
        <v>2154481.1146101886</v>
      </c>
      <c r="H282" s="22">
        <f t="shared" si="8"/>
        <v>2419444.9101704606</v>
      </c>
      <c r="I282" s="22">
        <f t="shared" si="8"/>
        <v>2003165.9403589857</v>
      </c>
      <c r="J282" s="22">
        <f t="shared" si="8"/>
        <v>1637708.8344241108</v>
      </c>
      <c r="K282" s="22">
        <f t="shared" si="8"/>
        <v>947597.26504794834</v>
      </c>
      <c r="L282" s="22">
        <f t="shared" si="8"/>
        <v>659536.19113609684</v>
      </c>
      <c r="M282" s="22">
        <f t="shared" si="8"/>
        <v>462692.28578469966</v>
      </c>
      <c r="N282" s="22">
        <f t="shared" si="2"/>
        <v>14294561.682190588</v>
      </c>
    </row>
    <row r="283" spans="1:15">
      <c r="A283" s="1" t="s">
        <v>158</v>
      </c>
      <c r="B283" s="22">
        <f>SUM(B276:B279)</f>
        <v>265455.36197752296</v>
      </c>
      <c r="C283" s="22">
        <f t="shared" ref="C283:M283" si="9">SUM(C276:C279)</f>
        <v>265455.36197752296</v>
      </c>
      <c r="D283" s="22">
        <f t="shared" si="9"/>
        <v>311662.06562571833</v>
      </c>
      <c r="E283" s="22">
        <f t="shared" si="9"/>
        <v>721870.19398601213</v>
      </c>
      <c r="F283" s="22">
        <f t="shared" si="9"/>
        <v>1210292.1570913212</v>
      </c>
      <c r="G283" s="22">
        <f t="shared" si="9"/>
        <v>1782781.1146101886</v>
      </c>
      <c r="H283" s="22">
        <f t="shared" si="9"/>
        <v>2036344.9101704606</v>
      </c>
      <c r="I283" s="22">
        <f t="shared" si="9"/>
        <v>1669865.9403589857</v>
      </c>
      <c r="J283" s="22">
        <f t="shared" si="9"/>
        <v>1336508.8344241108</v>
      </c>
      <c r="K283" s="22">
        <f t="shared" si="9"/>
        <v>658397.26504794834</v>
      </c>
      <c r="L283" s="22">
        <f t="shared" si="9"/>
        <v>427736.19113609684</v>
      </c>
      <c r="M283" s="22">
        <f t="shared" si="9"/>
        <v>256892.28578469966</v>
      </c>
      <c r="N283" s="22">
        <f t="shared" si="2"/>
        <v>10943261.682190588</v>
      </c>
      <c r="O283" s="124">
        <f t="shared" si="3"/>
        <v>0.76555419644833589</v>
      </c>
    </row>
    <row r="284" spans="1:15">
      <c r="A284" s="1" t="s">
        <v>319</v>
      </c>
      <c r="B284" s="22">
        <f>SUM(B280:B281)</f>
        <v>220400</v>
      </c>
      <c r="C284" s="22">
        <f t="shared" ref="C284:M284" si="10">SUM(C280:C281)</f>
        <v>214000</v>
      </c>
      <c r="D284" s="22">
        <f t="shared" si="10"/>
        <v>196700</v>
      </c>
      <c r="E284" s="22">
        <f t="shared" si="10"/>
        <v>296600</v>
      </c>
      <c r="F284" s="22">
        <f t="shared" si="10"/>
        <v>307500</v>
      </c>
      <c r="G284" s="22">
        <f t="shared" si="10"/>
        <v>371700</v>
      </c>
      <c r="H284" s="22">
        <f t="shared" si="10"/>
        <v>383100</v>
      </c>
      <c r="I284" s="22">
        <f t="shared" si="10"/>
        <v>333300</v>
      </c>
      <c r="J284" s="22">
        <f t="shared" si="10"/>
        <v>301200</v>
      </c>
      <c r="K284" s="22">
        <f t="shared" si="10"/>
        <v>289200</v>
      </c>
      <c r="L284" s="22">
        <f t="shared" si="10"/>
        <v>231800</v>
      </c>
      <c r="M284" s="22">
        <f t="shared" si="10"/>
        <v>205800</v>
      </c>
      <c r="N284" s="22">
        <f t="shared" si="2"/>
        <v>3351300</v>
      </c>
      <c r="O284" s="124">
        <f t="shared" si="3"/>
        <v>0.23444580355166411</v>
      </c>
    </row>
    <row r="285" spans="1:15">
      <c r="A285" s="1" t="s">
        <v>719</v>
      </c>
      <c r="B285" s="124">
        <f>B283/B282</f>
        <v>0.54636705231999405</v>
      </c>
      <c r="C285" s="124">
        <f t="shared" ref="C285:M285" si="11">C283/C282</f>
        <v>0.55366022163699902</v>
      </c>
      <c r="D285" s="124">
        <f t="shared" si="11"/>
        <v>0.61307105053581945</v>
      </c>
      <c r="E285" s="124">
        <f t="shared" si="11"/>
        <v>0.70877891002466242</v>
      </c>
      <c r="F285" s="124">
        <f t="shared" si="11"/>
        <v>0.7974030906910935</v>
      </c>
      <c r="G285" s="124">
        <f t="shared" si="11"/>
        <v>0.82747586067040002</v>
      </c>
      <c r="H285" s="124">
        <f t="shared" si="11"/>
        <v>0.84165789500327626</v>
      </c>
      <c r="I285" s="124">
        <f t="shared" si="11"/>
        <v>0.83361338504973304</v>
      </c>
      <c r="J285" s="124">
        <f t="shared" si="11"/>
        <v>0.81608452389773245</v>
      </c>
      <c r="K285" s="124">
        <f t="shared" si="11"/>
        <v>0.69480705499359319</v>
      </c>
      <c r="L285" s="124">
        <f t="shared" si="11"/>
        <v>0.64854089416881211</v>
      </c>
      <c r="M285" s="124">
        <f t="shared" si="11"/>
        <v>0.55521194901493776</v>
      </c>
      <c r="N285" s="124">
        <f>N283/N282</f>
        <v>0.76555419644833589</v>
      </c>
    </row>
    <row r="286" spans="1:15">
      <c r="A286" s="1" t="s">
        <v>720</v>
      </c>
      <c r="B286" s="124">
        <f>B284/B282</f>
        <v>0.45363294768000589</v>
      </c>
      <c r="C286" s="124">
        <f t="shared" ref="C286:M286" si="12">C284/C282</f>
        <v>0.44633977836300098</v>
      </c>
      <c r="D286" s="124">
        <f t="shared" si="12"/>
        <v>0.38692894946418055</v>
      </c>
      <c r="E286" s="124">
        <f t="shared" si="12"/>
        <v>0.29122108997533763</v>
      </c>
      <c r="F286" s="124">
        <f t="shared" si="12"/>
        <v>0.20259690930890653</v>
      </c>
      <c r="G286" s="124">
        <f t="shared" si="12"/>
        <v>0.17252413932959995</v>
      </c>
      <c r="H286" s="124">
        <f t="shared" si="12"/>
        <v>0.15834210499672377</v>
      </c>
      <c r="I286" s="124">
        <f t="shared" si="12"/>
        <v>0.16638661495026696</v>
      </c>
      <c r="J286" s="124">
        <f t="shared" si="12"/>
        <v>0.18391547610226755</v>
      </c>
      <c r="K286" s="124">
        <f t="shared" si="12"/>
        <v>0.30519294500640681</v>
      </c>
      <c r="L286" s="124">
        <f t="shared" si="12"/>
        <v>0.35145910583118783</v>
      </c>
      <c r="M286" s="124">
        <f t="shared" si="12"/>
        <v>0.4447880509850623</v>
      </c>
      <c r="N286" s="124">
        <f>N284/N282</f>
        <v>0.23444580355166411</v>
      </c>
    </row>
    <row r="353" spans="1:14">
      <c r="A353" s="33" t="s">
        <v>1</v>
      </c>
      <c r="B353" s="10">
        <v>31</v>
      </c>
      <c r="C353" s="10">
        <v>31</v>
      </c>
      <c r="D353" s="10">
        <v>30</v>
      </c>
      <c r="E353" s="10">
        <v>31</v>
      </c>
      <c r="F353" s="10">
        <v>30</v>
      </c>
      <c r="G353" s="10">
        <v>31</v>
      </c>
      <c r="H353" s="10">
        <v>31</v>
      </c>
      <c r="I353" s="10">
        <v>29</v>
      </c>
      <c r="J353" s="10">
        <v>31</v>
      </c>
      <c r="K353" s="10">
        <v>30</v>
      </c>
      <c r="L353" s="10">
        <v>31</v>
      </c>
      <c r="M353" s="10">
        <v>30</v>
      </c>
    </row>
    <row r="354" spans="1:14">
      <c r="A354" s="33" t="s">
        <v>722</v>
      </c>
      <c r="B354" s="142">
        <v>40360</v>
      </c>
      <c r="C354" s="142">
        <v>40391</v>
      </c>
      <c r="D354" s="142">
        <v>40422</v>
      </c>
      <c r="E354" s="142">
        <v>40452</v>
      </c>
      <c r="F354" s="142">
        <v>40483</v>
      </c>
      <c r="G354" s="142">
        <v>40513</v>
      </c>
      <c r="H354" s="142">
        <v>40544</v>
      </c>
      <c r="I354" s="142">
        <v>40575</v>
      </c>
      <c r="J354" s="142">
        <v>40603</v>
      </c>
      <c r="K354" s="142">
        <v>40634</v>
      </c>
      <c r="L354" s="142">
        <v>40664</v>
      </c>
      <c r="M354" s="142">
        <v>40695</v>
      </c>
      <c r="N354" s="11" t="s">
        <v>758</v>
      </c>
    </row>
    <row r="355" spans="1:14">
      <c r="A355" s="1" t="s">
        <v>361</v>
      </c>
      <c r="B355" s="22">
        <f>B276/B353</f>
        <v>3958.2633398524836</v>
      </c>
      <c r="C355" s="22">
        <f t="shared" ref="C355:M355" si="13">C276/C353</f>
        <v>3958.2633398524836</v>
      </c>
      <c r="D355" s="22">
        <f t="shared" si="13"/>
        <v>5097.3991973630509</v>
      </c>
      <c r="E355" s="22">
        <f t="shared" si="13"/>
        <v>13144.842835905441</v>
      </c>
      <c r="F355" s="22">
        <f t="shared" si="13"/>
        <v>23787.665303925311</v>
      </c>
      <c r="G355" s="22">
        <f t="shared" si="13"/>
        <v>34498.536508952973</v>
      </c>
      <c r="H355" s="22">
        <f t="shared" si="13"/>
        <v>39602.191784537958</v>
      </c>
      <c r="I355" s="22">
        <f t="shared" si="13"/>
        <v>34591.533168936097</v>
      </c>
      <c r="J355" s="22">
        <f t="shared" si="13"/>
        <v>25516.103223923426</v>
      </c>
      <c r="K355" s="22">
        <f t="shared" si="13"/>
        <v>10883.356666666667</v>
      </c>
      <c r="L355" s="22">
        <f t="shared" si="13"/>
        <v>7224.6027162268674</v>
      </c>
      <c r="M355" s="22">
        <f t="shared" si="13"/>
        <v>3958.263339852484</v>
      </c>
      <c r="N355" s="22"/>
    </row>
    <row r="356" spans="1:14">
      <c r="A356" s="1" t="s">
        <v>716</v>
      </c>
      <c r="B356" s="22">
        <f>B277/B353</f>
        <v>2192.3128529708379</v>
      </c>
      <c r="C356" s="22">
        <f t="shared" ref="C356:M356" si="14">C277/C353</f>
        <v>2192.3128529708379</v>
      </c>
      <c r="D356" s="22">
        <f t="shared" si="14"/>
        <v>2653.2378234942275</v>
      </c>
      <c r="E356" s="22">
        <f t="shared" si="14"/>
        <v>5909.4497120304322</v>
      </c>
      <c r="F356" s="22">
        <f t="shared" si="14"/>
        <v>10215.82159911873</v>
      </c>
      <c r="G356" s="22">
        <f t="shared" si="14"/>
        <v>14549.727833311175</v>
      </c>
      <c r="H356" s="22">
        <f t="shared" si="14"/>
        <v>16614.80386612206</v>
      </c>
      <c r="I356" s="22">
        <f t="shared" si="14"/>
        <v>14566.988050339261</v>
      </c>
      <c r="J356" s="22">
        <f t="shared" si="14"/>
        <v>10915.194015564017</v>
      </c>
      <c r="K356" s="22">
        <f t="shared" si="14"/>
        <v>6528.4218349316134</v>
      </c>
      <c r="L356" s="22">
        <f t="shared" si="14"/>
        <v>3513.9615139698039</v>
      </c>
      <c r="M356" s="22">
        <f t="shared" si="14"/>
        <v>2192.3128529708379</v>
      </c>
      <c r="N356" s="22"/>
    </row>
    <row r="357" spans="1:14">
      <c r="A357" s="1" t="s">
        <v>103</v>
      </c>
      <c r="B357" s="22">
        <f>B278/B353</f>
        <v>2310.5</v>
      </c>
      <c r="C357" s="22">
        <f t="shared" ref="C357:M357" si="15">C278/C353</f>
        <v>2310.5</v>
      </c>
      <c r="D357" s="22">
        <f t="shared" si="15"/>
        <v>2484.6904999999997</v>
      </c>
      <c r="E357" s="22">
        <f t="shared" si="15"/>
        <v>3715.2620967741937</v>
      </c>
      <c r="F357" s="22">
        <f t="shared" si="15"/>
        <v>5342.7049999999999</v>
      </c>
      <c r="G357" s="22">
        <f t="shared" si="15"/>
        <v>6980.5535483870963</v>
      </c>
      <c r="H357" s="22">
        <f t="shared" si="15"/>
        <v>7760.97693548387</v>
      </c>
      <c r="I357" s="22">
        <f t="shared" si="15"/>
        <v>6935.9732758620694</v>
      </c>
      <c r="J357" s="22">
        <f t="shared" si="15"/>
        <v>5607.0083870967746</v>
      </c>
      <c r="K357" s="22">
        <f t="shared" si="15"/>
        <v>3949.1809999999996</v>
      </c>
      <c r="L357" s="22">
        <f t="shared" si="15"/>
        <v>2809.9709677419355</v>
      </c>
      <c r="M357" s="22">
        <f t="shared" si="15"/>
        <v>2310.5</v>
      </c>
      <c r="N357" s="22"/>
    </row>
    <row r="358" spans="1:14">
      <c r="A358" s="1" t="s">
        <v>717</v>
      </c>
      <c r="B358" s="22">
        <f>B279/B353</f>
        <v>102</v>
      </c>
      <c r="C358" s="22">
        <f t="shared" ref="C358:M358" si="16">C279/C353</f>
        <v>102</v>
      </c>
      <c r="D358" s="22">
        <f t="shared" si="16"/>
        <v>153.40799999999999</v>
      </c>
      <c r="E358" s="22">
        <f t="shared" si="16"/>
        <v>516.58064516129036</v>
      </c>
      <c r="F358" s="22">
        <f t="shared" si="16"/>
        <v>996.88</v>
      </c>
      <c r="G358" s="22">
        <f t="shared" si="16"/>
        <v>1480.2503225806452</v>
      </c>
      <c r="H358" s="22">
        <f t="shared" si="16"/>
        <v>1710.5729032258066</v>
      </c>
      <c r="I358" s="22">
        <f t="shared" si="16"/>
        <v>1487.0896551724138</v>
      </c>
      <c r="J358" s="22">
        <f t="shared" si="16"/>
        <v>1074.8825806451614</v>
      </c>
      <c r="K358" s="22">
        <f t="shared" si="16"/>
        <v>585.6160000000001</v>
      </c>
      <c r="L358" s="22">
        <f t="shared" si="16"/>
        <v>249.40645161290323</v>
      </c>
      <c r="M358" s="22">
        <f t="shared" si="16"/>
        <v>102</v>
      </c>
      <c r="N358" s="22"/>
    </row>
    <row r="359" spans="1:14">
      <c r="A359" s="1" t="s">
        <v>718</v>
      </c>
      <c r="B359" s="22">
        <f>B280/B353</f>
        <v>658.06451612903231</v>
      </c>
      <c r="C359" s="22">
        <f t="shared" ref="C359:M359" si="17">C280/C353</f>
        <v>612.90322580645159</v>
      </c>
      <c r="D359" s="22">
        <f t="shared" si="17"/>
        <v>640</v>
      </c>
      <c r="E359" s="22">
        <f t="shared" si="17"/>
        <v>535.48387096774195</v>
      </c>
      <c r="F359" s="22">
        <f t="shared" si="17"/>
        <v>916.66666666666663</v>
      </c>
      <c r="G359" s="22">
        <f t="shared" si="17"/>
        <v>1183.8709677419354</v>
      </c>
      <c r="H359" s="22">
        <f t="shared" si="17"/>
        <v>1390.3225806451612</v>
      </c>
      <c r="I359" s="22">
        <f t="shared" si="17"/>
        <v>1148.2758620689656</v>
      </c>
      <c r="J359" s="22">
        <f t="shared" si="17"/>
        <v>845.16129032258061</v>
      </c>
      <c r="K359" s="22">
        <f t="shared" si="17"/>
        <v>973.33333333333337</v>
      </c>
      <c r="L359" s="22">
        <f t="shared" si="17"/>
        <v>380.64516129032256</v>
      </c>
      <c r="M359" s="22">
        <f t="shared" si="17"/>
        <v>376.66666666666669</v>
      </c>
      <c r="N359" s="22"/>
    </row>
    <row r="360" spans="1:14">
      <c r="A360" s="1" t="s">
        <v>104</v>
      </c>
      <c r="B360" s="22">
        <f>B281/B353</f>
        <v>6451.6129032258068</v>
      </c>
      <c r="C360" s="22">
        <f t="shared" ref="C360:M360" si="18">C281/C353</f>
        <v>6290.322580645161</v>
      </c>
      <c r="D360" s="22">
        <f t="shared" si="18"/>
        <v>5916.666666666667</v>
      </c>
      <c r="E360" s="22">
        <f t="shared" si="18"/>
        <v>9032.2580645161288</v>
      </c>
      <c r="F360" s="22">
        <f t="shared" si="18"/>
        <v>9333.3333333333339</v>
      </c>
      <c r="G360" s="22">
        <f t="shared" si="18"/>
        <v>10806.451612903225</v>
      </c>
      <c r="H360" s="22">
        <f t="shared" si="18"/>
        <v>10967.741935483871</v>
      </c>
      <c r="I360" s="22">
        <f t="shared" si="18"/>
        <v>10344.827586206897</v>
      </c>
      <c r="J360" s="22">
        <f t="shared" si="18"/>
        <v>8870.967741935483</v>
      </c>
      <c r="K360" s="22">
        <f t="shared" si="18"/>
        <v>8666.6666666666661</v>
      </c>
      <c r="L360" s="22">
        <f t="shared" si="18"/>
        <v>7096.7741935483873</v>
      </c>
      <c r="M360" s="22">
        <f t="shared" si="18"/>
        <v>6483.333333333333</v>
      </c>
      <c r="N360" s="22"/>
    </row>
    <row r="361" spans="1:14">
      <c r="A361" s="1" t="s">
        <v>0</v>
      </c>
      <c r="B361" s="22">
        <f t="shared" ref="B361:M361" si="19">SUM(B355:B360)</f>
        <v>15672.753612178161</v>
      </c>
      <c r="C361" s="22">
        <f t="shared" si="19"/>
        <v>15466.301999274934</v>
      </c>
      <c r="D361" s="22">
        <f t="shared" si="19"/>
        <v>16945.402187523945</v>
      </c>
      <c r="E361" s="22">
        <f t="shared" si="19"/>
        <v>32853.877225355231</v>
      </c>
      <c r="F361" s="22">
        <f t="shared" si="19"/>
        <v>50593.071903044038</v>
      </c>
      <c r="G361" s="22">
        <f t="shared" si="19"/>
        <v>69499.390793877043</v>
      </c>
      <c r="H361" s="22">
        <f t="shared" si="19"/>
        <v>78046.610005498718</v>
      </c>
      <c r="I361" s="22">
        <f t="shared" si="19"/>
        <v>69074.687598585704</v>
      </c>
      <c r="J361" s="22">
        <f t="shared" si="19"/>
        <v>52829.317239487449</v>
      </c>
      <c r="K361" s="22">
        <f t="shared" si="19"/>
        <v>31586.57550159828</v>
      </c>
      <c r="L361" s="22">
        <f t="shared" si="19"/>
        <v>21275.361004390219</v>
      </c>
      <c r="M361" s="22">
        <f t="shared" si="19"/>
        <v>15423.076192823322</v>
      </c>
      <c r="N361" s="22"/>
    </row>
    <row r="362" spans="1:14">
      <c r="A362" s="1" t="s">
        <v>158</v>
      </c>
      <c r="B362" s="22">
        <f>SUM(B355:B358)</f>
        <v>8563.0761928233223</v>
      </c>
      <c r="C362" s="22">
        <f t="shared" ref="C362:M362" si="20">SUM(C355:C358)</f>
        <v>8563.0761928233223</v>
      </c>
      <c r="D362" s="22">
        <f t="shared" si="20"/>
        <v>10388.735520857277</v>
      </c>
      <c r="E362" s="22">
        <f t="shared" si="20"/>
        <v>23286.135289871359</v>
      </c>
      <c r="F362" s="22">
        <f t="shared" si="20"/>
        <v>40343.071903044038</v>
      </c>
      <c r="G362" s="22">
        <f t="shared" si="20"/>
        <v>57509.068213231891</v>
      </c>
      <c r="H362" s="22">
        <f t="shared" si="20"/>
        <v>65688.545489369688</v>
      </c>
      <c r="I362" s="22">
        <f t="shared" si="20"/>
        <v>57581.584150309842</v>
      </c>
      <c r="J362" s="22">
        <f t="shared" si="20"/>
        <v>43113.188207229381</v>
      </c>
      <c r="K362" s="22">
        <f t="shared" si="20"/>
        <v>21946.575501598283</v>
      </c>
      <c r="L362" s="22">
        <f t="shared" si="20"/>
        <v>13797.941649551511</v>
      </c>
      <c r="M362" s="22">
        <f t="shared" si="20"/>
        <v>8563.0761928233223</v>
      </c>
      <c r="N362" s="22"/>
    </row>
    <row r="363" spans="1:14">
      <c r="A363" s="1" t="s">
        <v>319</v>
      </c>
      <c r="B363" s="22">
        <f>SUM(B359:B360)</f>
        <v>7109.677419354839</v>
      </c>
      <c r="C363" s="22">
        <f t="shared" ref="C363:M363" si="21">SUM(C359:C360)</f>
        <v>6903.2258064516127</v>
      </c>
      <c r="D363" s="22">
        <f t="shared" si="21"/>
        <v>6556.666666666667</v>
      </c>
      <c r="E363" s="22">
        <f t="shared" si="21"/>
        <v>9567.7419354838712</v>
      </c>
      <c r="F363" s="22">
        <f t="shared" si="21"/>
        <v>10250</v>
      </c>
      <c r="G363" s="22">
        <f t="shared" si="21"/>
        <v>11990.322580645161</v>
      </c>
      <c r="H363" s="22">
        <f t="shared" si="21"/>
        <v>12358.064516129032</v>
      </c>
      <c r="I363" s="22">
        <f t="shared" si="21"/>
        <v>11493.103448275862</v>
      </c>
      <c r="J363" s="22">
        <f t="shared" si="21"/>
        <v>9716.1290322580644</v>
      </c>
      <c r="K363" s="22">
        <f t="shared" si="21"/>
        <v>9640</v>
      </c>
      <c r="L363" s="22">
        <f t="shared" si="21"/>
        <v>7477.4193548387102</v>
      </c>
      <c r="M363" s="22">
        <f t="shared" si="21"/>
        <v>6860</v>
      </c>
      <c r="N363" s="22"/>
    </row>
    <row r="364" spans="1:14">
      <c r="B364" s="124"/>
      <c r="C364" s="124"/>
      <c r="D364" s="124"/>
      <c r="E364" s="124"/>
      <c r="F364" s="124"/>
      <c r="G364" s="124"/>
      <c r="H364" s="124"/>
      <c r="I364" s="124"/>
      <c r="J364" s="124"/>
      <c r="K364" s="124"/>
      <c r="L364" s="124"/>
      <c r="M364" s="124"/>
      <c r="N364" s="124"/>
    </row>
    <row r="365" spans="1:14">
      <c r="A365" s="1" t="s">
        <v>723</v>
      </c>
      <c r="B365" s="22">
        <v>23000</v>
      </c>
      <c r="C365" s="22">
        <v>23000</v>
      </c>
      <c r="D365" s="22">
        <v>23000</v>
      </c>
      <c r="E365" s="22">
        <v>23000</v>
      </c>
      <c r="F365" s="22">
        <v>23000</v>
      </c>
      <c r="G365" s="22">
        <v>23000</v>
      </c>
      <c r="H365" s="22">
        <v>23000</v>
      </c>
      <c r="I365" s="22">
        <v>23000</v>
      </c>
      <c r="J365" s="22">
        <v>23000</v>
      </c>
      <c r="K365" s="22">
        <v>23000</v>
      </c>
      <c r="L365" s="22">
        <v>23000</v>
      </c>
      <c r="M365" s="22">
        <v>23000</v>
      </c>
      <c r="N365" s="124"/>
    </row>
    <row r="366" spans="1:14">
      <c r="A366" s="1" t="s">
        <v>724</v>
      </c>
      <c r="B366" s="22">
        <v>10000</v>
      </c>
      <c r="C366" s="22">
        <v>10000</v>
      </c>
      <c r="D366" s="22">
        <v>10000</v>
      </c>
      <c r="E366" s="22">
        <v>10000</v>
      </c>
      <c r="F366" s="22">
        <v>10000</v>
      </c>
      <c r="G366" s="22">
        <v>10000</v>
      </c>
      <c r="H366" s="22">
        <v>10000</v>
      </c>
      <c r="I366" s="22">
        <v>10000</v>
      </c>
      <c r="J366" s="22">
        <v>10000</v>
      </c>
      <c r="K366" s="22">
        <v>10000</v>
      </c>
      <c r="L366" s="22">
        <v>10000</v>
      </c>
      <c r="M366" s="22">
        <v>10000</v>
      </c>
      <c r="N366" s="124">
        <f>M367/M365</f>
        <v>0.32608695652173914</v>
      </c>
    </row>
    <row r="367" spans="1:14">
      <c r="A367" s="1" t="s">
        <v>725</v>
      </c>
      <c r="B367" s="22">
        <v>7500</v>
      </c>
      <c r="C367" s="22">
        <v>7500</v>
      </c>
      <c r="D367" s="22">
        <v>7500</v>
      </c>
      <c r="E367" s="22">
        <v>7500</v>
      </c>
      <c r="F367" s="22">
        <v>7500</v>
      </c>
      <c r="G367" s="22">
        <v>7500</v>
      </c>
      <c r="H367" s="22">
        <v>7500</v>
      </c>
      <c r="I367" s="22">
        <v>7500</v>
      </c>
      <c r="J367" s="22">
        <v>7500</v>
      </c>
      <c r="K367" s="22">
        <v>7500</v>
      </c>
      <c r="L367" s="22">
        <v>7500</v>
      </c>
      <c r="M367" s="22">
        <v>7500</v>
      </c>
    </row>
    <row r="368" spans="1:14">
      <c r="A368" s="1" t="s">
        <v>726</v>
      </c>
      <c r="B368" s="22">
        <f>B365-B366-B367</f>
        <v>5500</v>
      </c>
      <c r="C368" s="22">
        <f t="shared" ref="C368:M368" si="22">C365-C366-C367</f>
        <v>5500</v>
      </c>
      <c r="D368" s="22">
        <f t="shared" si="22"/>
        <v>5500</v>
      </c>
      <c r="E368" s="22">
        <f t="shared" si="22"/>
        <v>5500</v>
      </c>
      <c r="F368" s="22">
        <f t="shared" si="22"/>
        <v>5500</v>
      </c>
      <c r="G368" s="22">
        <f t="shared" si="22"/>
        <v>5500</v>
      </c>
      <c r="H368" s="22">
        <f t="shared" si="22"/>
        <v>5500</v>
      </c>
      <c r="I368" s="22">
        <f t="shared" si="22"/>
        <v>5500</v>
      </c>
      <c r="J368" s="22">
        <f t="shared" si="22"/>
        <v>5500</v>
      </c>
      <c r="K368" s="22">
        <f t="shared" si="22"/>
        <v>5500</v>
      </c>
      <c r="L368" s="22">
        <f t="shared" si="22"/>
        <v>5500</v>
      </c>
      <c r="M368" s="22">
        <f t="shared" si="22"/>
        <v>5500</v>
      </c>
    </row>
  </sheetData>
  <phoneticPr fontId="10" type="noConversion"/>
  <printOptions horizontalCentered="1" verticalCentered="1"/>
  <pageMargins left="0.75" right="0.75" top="1" bottom="1" header="0.5" footer="0.5"/>
  <pageSetup scale="61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BB221"/>
  <sheetViews>
    <sheetView topLeftCell="A85" zoomScale="50" workbookViewId="0">
      <selection activeCell="A123" sqref="A123"/>
    </sheetView>
  </sheetViews>
  <sheetFormatPr defaultRowHeight="20.25"/>
  <cols>
    <col min="1" max="1" width="10.5546875" style="10" bestFit="1" customWidth="1"/>
    <col min="2" max="2" width="8.88671875" style="10"/>
    <col min="3" max="3" width="15" style="10" bestFit="1" customWidth="1"/>
    <col min="4" max="4" width="15.6640625" style="10" bestFit="1" customWidth="1"/>
    <col min="5" max="5" width="9.44140625" style="370" bestFit="1" customWidth="1"/>
    <col min="6" max="6" width="94.77734375" style="10" bestFit="1" customWidth="1"/>
    <col min="7" max="7" width="20.33203125" style="1" bestFit="1" customWidth="1"/>
    <col min="8" max="9" width="18.109375" style="1" bestFit="1" customWidth="1"/>
    <col min="10" max="10" width="18.21875" style="1" bestFit="1" customWidth="1"/>
    <col min="11" max="13" width="18.109375" style="1" bestFit="1" customWidth="1"/>
    <col min="14" max="16" width="17.21875" style="1" bestFit="1" customWidth="1"/>
    <col min="17" max="17" width="17.21875" style="1" customWidth="1"/>
    <col min="18" max="18" width="17.21875" style="1" bestFit="1" customWidth="1"/>
    <col min="19" max="19" width="17.88671875" style="37" bestFit="1" customWidth="1"/>
    <col min="20" max="20" width="12.109375" style="1" bestFit="1" customWidth="1"/>
    <col min="21" max="21" width="17" style="1" bestFit="1" customWidth="1"/>
    <col min="22" max="22" width="9.21875" style="1" bestFit="1" customWidth="1"/>
    <col min="23" max="23" width="94.77734375" style="10" bestFit="1" customWidth="1"/>
    <col min="24" max="35" width="16.109375" style="1" bestFit="1" customWidth="1"/>
    <col min="36" max="36" width="17.44140625" style="1" bestFit="1" customWidth="1"/>
    <col min="37" max="37" width="21.6640625" style="1" bestFit="1" customWidth="1"/>
    <col min="38" max="38" width="7.44140625" style="1" bestFit="1" customWidth="1"/>
    <col min="39" max="39" width="9.21875" style="1" bestFit="1" customWidth="1"/>
    <col min="40" max="40" width="94.77734375" style="10" bestFit="1" customWidth="1"/>
    <col min="41" max="48" width="17.21875" style="1" bestFit="1" customWidth="1"/>
    <col min="49" max="49" width="16.77734375" style="1" customWidth="1"/>
    <col min="50" max="51" width="15.88671875" style="1" bestFit="1" customWidth="1"/>
    <col min="52" max="52" width="16.44140625" style="1" bestFit="1" customWidth="1"/>
    <col min="53" max="53" width="17.44140625" style="1" bestFit="1" customWidth="1"/>
    <col min="54" max="54" width="10.5546875" style="1" bestFit="1" customWidth="1"/>
    <col min="55" max="16384" width="8.88671875" style="1"/>
  </cols>
  <sheetData>
    <row r="1" spans="5:53" s="10" customFormat="1">
      <c r="E1" s="370"/>
      <c r="F1" s="10" t="s">
        <v>85</v>
      </c>
      <c r="G1" s="10">
        <v>31</v>
      </c>
      <c r="H1" s="10">
        <v>31</v>
      </c>
      <c r="I1" s="10">
        <v>30</v>
      </c>
      <c r="J1" s="10">
        <v>31</v>
      </c>
      <c r="K1" s="10">
        <v>30</v>
      </c>
      <c r="L1" s="10">
        <v>31</v>
      </c>
      <c r="M1" s="10">
        <v>31</v>
      </c>
      <c r="N1" s="10">
        <v>28</v>
      </c>
      <c r="O1" s="10">
        <v>31</v>
      </c>
      <c r="P1" s="10">
        <v>30</v>
      </c>
      <c r="Q1" s="10">
        <v>31</v>
      </c>
      <c r="R1" s="10">
        <v>30</v>
      </c>
      <c r="S1" s="107">
        <f>SUM(G1:R1)</f>
        <v>365</v>
      </c>
      <c r="W1" s="10" t="s">
        <v>85</v>
      </c>
      <c r="X1" s="10">
        <v>31</v>
      </c>
      <c r="Y1" s="10">
        <v>31</v>
      </c>
      <c r="Z1" s="10">
        <v>30</v>
      </c>
      <c r="AA1" s="10">
        <v>31</v>
      </c>
      <c r="AB1" s="10">
        <v>30</v>
      </c>
      <c r="AC1" s="10">
        <v>31</v>
      </c>
      <c r="AD1" s="10">
        <v>31</v>
      </c>
      <c r="AE1" s="10">
        <v>29</v>
      </c>
      <c r="AF1" s="10">
        <v>31</v>
      </c>
      <c r="AG1" s="10">
        <v>30</v>
      </c>
      <c r="AH1" s="10">
        <v>31</v>
      </c>
      <c r="AI1" s="10">
        <v>30</v>
      </c>
      <c r="AJ1" s="108">
        <f>SUM(X1:AI1)</f>
        <v>366</v>
      </c>
      <c r="AN1" s="10" t="s">
        <v>85</v>
      </c>
      <c r="AO1" s="10">
        <v>31</v>
      </c>
      <c r="AP1" s="10">
        <v>31</v>
      </c>
      <c r="AQ1" s="10">
        <v>30</v>
      </c>
      <c r="AR1" s="10">
        <v>31</v>
      </c>
      <c r="AS1" s="10">
        <v>30</v>
      </c>
      <c r="AT1" s="10">
        <v>31</v>
      </c>
      <c r="AU1" s="10">
        <v>31</v>
      </c>
      <c r="AV1" s="10">
        <v>28</v>
      </c>
      <c r="AW1" s="10">
        <v>31</v>
      </c>
      <c r="AX1" s="10">
        <v>30</v>
      </c>
      <c r="AY1" s="10">
        <v>31</v>
      </c>
      <c r="AZ1" s="10">
        <v>30</v>
      </c>
      <c r="BA1" s="108">
        <f>SUM(AO1:AZ1)</f>
        <v>365</v>
      </c>
    </row>
    <row r="2" spans="5:53" s="46" customFormat="1">
      <c r="E2" s="370"/>
      <c r="F2" s="11" t="s">
        <v>167</v>
      </c>
      <c r="G2" s="141">
        <v>40360</v>
      </c>
      <c r="H2" s="141">
        <v>40391</v>
      </c>
      <c r="I2" s="141">
        <v>40422</v>
      </c>
      <c r="J2" s="141">
        <v>40452</v>
      </c>
      <c r="K2" s="141">
        <v>40483</v>
      </c>
      <c r="L2" s="141">
        <v>40513</v>
      </c>
      <c r="M2" s="141">
        <v>40544</v>
      </c>
      <c r="N2" s="141">
        <v>40575</v>
      </c>
      <c r="O2" s="141">
        <v>40603</v>
      </c>
      <c r="P2" s="149">
        <v>40634</v>
      </c>
      <c r="Q2" s="141">
        <v>40664</v>
      </c>
      <c r="R2" s="141">
        <v>40695</v>
      </c>
      <c r="S2" s="14" t="s">
        <v>758</v>
      </c>
      <c r="U2" s="28"/>
      <c r="W2" s="11" t="s">
        <v>167</v>
      </c>
      <c r="X2" s="141">
        <v>40725</v>
      </c>
      <c r="Y2" s="141">
        <v>40756</v>
      </c>
      <c r="Z2" s="141">
        <v>40787</v>
      </c>
      <c r="AA2" s="141">
        <v>40817</v>
      </c>
      <c r="AB2" s="141">
        <v>40848</v>
      </c>
      <c r="AC2" s="141">
        <v>40878</v>
      </c>
      <c r="AD2" s="141">
        <v>40909</v>
      </c>
      <c r="AE2" s="141">
        <v>40940</v>
      </c>
      <c r="AF2" s="141">
        <v>40969</v>
      </c>
      <c r="AG2" s="141">
        <v>41000</v>
      </c>
      <c r="AH2" s="141">
        <v>41030</v>
      </c>
      <c r="AI2" s="141">
        <v>41061</v>
      </c>
      <c r="AJ2" s="142" t="s">
        <v>868</v>
      </c>
      <c r="AK2" s="141"/>
      <c r="AL2" s="141"/>
      <c r="AM2" s="141"/>
      <c r="AN2" s="11" t="s">
        <v>167</v>
      </c>
      <c r="AO2" s="141">
        <v>41091</v>
      </c>
      <c r="AP2" s="141">
        <v>41122</v>
      </c>
      <c r="AQ2" s="141">
        <v>41153</v>
      </c>
      <c r="AR2" s="141">
        <v>41183</v>
      </c>
      <c r="AS2" s="141">
        <v>41214</v>
      </c>
      <c r="AT2" s="141">
        <v>41244</v>
      </c>
      <c r="AU2" s="141">
        <v>41275</v>
      </c>
      <c r="AV2" s="141">
        <v>41306</v>
      </c>
      <c r="AW2" s="141">
        <v>41334</v>
      </c>
      <c r="AX2" s="141">
        <v>41365</v>
      </c>
      <c r="AY2" s="141">
        <v>41395</v>
      </c>
      <c r="AZ2" s="141">
        <v>41426</v>
      </c>
      <c r="BA2" s="142" t="s">
        <v>895</v>
      </c>
    </row>
    <row r="3" spans="5:53" s="22" customFormat="1">
      <c r="E3" s="370"/>
      <c r="F3" s="156" t="s">
        <v>402</v>
      </c>
      <c r="G3" s="22">
        <f>+MCFS!D13</f>
        <v>305898.69967492955</v>
      </c>
      <c r="H3" s="22">
        <f>+MCFS!E13</f>
        <v>305898.69967492955</v>
      </c>
      <c r="I3" s="22">
        <f>+MCFS!F13</f>
        <v>359145.20581800235</v>
      </c>
      <c r="J3" s="22">
        <f>+MCFS!G13</f>
        <v>831850.41744648491</v>
      </c>
      <c r="K3" s="22">
        <f>+MCFS!H13</f>
        <v>1394685.6990304424</v>
      </c>
      <c r="L3" s="22">
        <f>+MCFS!I13</f>
        <v>2054395.965866589</v>
      </c>
      <c r="M3" s="22">
        <f>+MCFS!J13</f>
        <v>2346591.3646285646</v>
      </c>
      <c r="N3" s="22">
        <f>+MCFS!K13</f>
        <v>1924277.6487239283</v>
      </c>
      <c r="O3" s="22">
        <f>+MCFS!L13</f>
        <v>1540132.064045513</v>
      </c>
      <c r="P3" s="22">
        <f>+MCFS!M13</f>
        <v>889772.04996974929</v>
      </c>
      <c r="Q3" s="22">
        <f>+MCFS!N13</f>
        <v>492903.75488259358</v>
      </c>
      <c r="R3" s="22">
        <f>+MCFS!O13</f>
        <v>296030.99968541571</v>
      </c>
      <c r="S3" s="131">
        <f>+MCFS!P13</f>
        <v>12741582.569447143</v>
      </c>
      <c r="U3" s="187"/>
      <c r="W3" s="156" t="s">
        <v>402</v>
      </c>
      <c r="X3" s="22">
        <f>+MCFS!T13</f>
        <v>307611.26655638876</v>
      </c>
      <c r="Y3" s="22">
        <f>+MCFS!U13</f>
        <v>307611.26655638876</v>
      </c>
      <c r="Z3" s="22">
        <f>+MCFS!V13</f>
        <v>361231.93346589745</v>
      </c>
      <c r="AA3" s="22">
        <f>+MCFS!W13</f>
        <v>837141.35815616243</v>
      </c>
      <c r="AB3" s="22">
        <f>+MCFS!X13</f>
        <v>1403817.8471490073</v>
      </c>
      <c r="AC3" s="22">
        <f>+MCFS!Y13</f>
        <v>2068004.6377414137</v>
      </c>
      <c r="AD3" s="22">
        <f>+MCFS!Z13</f>
        <v>2362188.0219635102</v>
      </c>
      <c r="AE3" s="22">
        <f>+MCFS!AA13</f>
        <v>1937036.7213216205</v>
      </c>
      <c r="AF3" s="22">
        <f>+MCFS!AB13</f>
        <v>1550241.8815105243</v>
      </c>
      <c r="AG3" s="22">
        <f>+MCFS!AC13</f>
        <v>895468.95921322436</v>
      </c>
      <c r="AH3" s="22">
        <f>+MCFS!AD13</f>
        <v>495888.63245853048</v>
      </c>
      <c r="AI3" s="22">
        <f>+MCFS!AE13</f>
        <v>297688.32247392467</v>
      </c>
      <c r="AJ3" s="59">
        <f>+MCFS!AF13</f>
        <v>12823930.848566594</v>
      </c>
      <c r="AN3" s="156" t="s">
        <v>402</v>
      </c>
      <c r="AO3" s="22">
        <f>+MCFS!AJ13</f>
        <v>309539.57178515283</v>
      </c>
      <c r="AP3" s="22">
        <f>+MCFS!AK13</f>
        <v>309539.57178515283</v>
      </c>
      <c r="AQ3" s="22">
        <f>+MCFS!AL13</f>
        <v>363587.52551030729</v>
      </c>
      <c r="AR3" s="22">
        <f>+MCFS!AM13</f>
        <v>843148.74846927694</v>
      </c>
      <c r="AS3" s="22">
        <f>+MCFS!AN13</f>
        <v>1414204.7044928267</v>
      </c>
      <c r="AT3" s="22">
        <f>+MCFS!AO13</f>
        <v>2083493.6347172628</v>
      </c>
      <c r="AU3" s="22">
        <f>+MCFS!AP13</f>
        <v>2379943.1773195541</v>
      </c>
      <c r="AV3" s="22">
        <f>+MCFS!AQ13</f>
        <v>1951559.549631254</v>
      </c>
      <c r="AW3" s="22">
        <f>+MCFS!AR13</f>
        <v>1561742.4397372305</v>
      </c>
      <c r="AX3" s="22">
        <f>+MCFS!AS13</f>
        <v>901939.89487606799</v>
      </c>
      <c r="AY3" s="22">
        <f>+MCFS!AT13</f>
        <v>499267.27905061911</v>
      </c>
      <c r="AZ3" s="22">
        <f>+MCFS!AU13</f>
        <v>299554.42430821242</v>
      </c>
      <c r="BA3" s="59">
        <f>+MCFS!AV13</f>
        <v>12917520.521682918</v>
      </c>
    </row>
    <row r="4" spans="5:53" s="22" customFormat="1">
      <c r="E4" s="370"/>
      <c r="F4" s="156" t="s">
        <v>403</v>
      </c>
      <c r="G4" s="22">
        <f>+MCFS!D14</f>
        <v>305898.69967492955</v>
      </c>
      <c r="H4" s="22">
        <f>+MCFS!E14</f>
        <v>611797.3993498591</v>
      </c>
      <c r="I4" s="22">
        <f>+MCFS!F14</f>
        <v>970942.60516786145</v>
      </c>
      <c r="J4" s="22">
        <f>+MCFS!G14</f>
        <v>1802793.0226143464</v>
      </c>
      <c r="K4" s="22">
        <f>+MCFS!H14</f>
        <v>3197478.721644789</v>
      </c>
      <c r="L4" s="22">
        <f>+MCFS!I14</f>
        <v>5251874.687511378</v>
      </c>
      <c r="M4" s="22">
        <f>+MCFS!J14</f>
        <v>7598466.0521399425</v>
      </c>
      <c r="N4" s="22">
        <f>+MCFS!K14</f>
        <v>9522743.7008638717</v>
      </c>
      <c r="O4" s="22">
        <f>+MCFS!L14</f>
        <v>11062875.764909385</v>
      </c>
      <c r="P4" s="22">
        <f>+MCFS!M14</f>
        <v>11952647.814879134</v>
      </c>
      <c r="Q4" s="22">
        <f>+MCFS!N14</f>
        <v>12445551.569761727</v>
      </c>
      <c r="R4" s="22">
        <f>+MCFS!O14</f>
        <v>12741582.569447143</v>
      </c>
      <c r="S4" s="131"/>
      <c r="W4" s="156" t="s">
        <v>403</v>
      </c>
      <c r="X4" s="22">
        <f>+MCFS!T14</f>
        <v>307611.26655638876</v>
      </c>
      <c r="Y4" s="22">
        <f>+MCFS!U14</f>
        <v>307611.26655638876</v>
      </c>
      <c r="Z4" s="22">
        <f>+MCFS!V14</f>
        <v>361231.93346589745</v>
      </c>
      <c r="AA4" s="22">
        <f>+MCFS!W14</f>
        <v>837141.35815616243</v>
      </c>
      <c r="AB4" s="22">
        <f>+MCFS!X14</f>
        <v>1403817.8471490073</v>
      </c>
      <c r="AC4" s="22">
        <f>+MCFS!Y14</f>
        <v>2068004.6377414137</v>
      </c>
      <c r="AD4" s="22">
        <f>+MCFS!Z14</f>
        <v>2362188.0219635102</v>
      </c>
      <c r="AE4" s="22">
        <f>+MCFS!AA14</f>
        <v>1937036.7213216205</v>
      </c>
      <c r="AF4" s="22">
        <f>+MCFS!AB14</f>
        <v>1550241.8815105243</v>
      </c>
      <c r="AG4" s="22">
        <f>+MCFS!AC14</f>
        <v>895468.95921322436</v>
      </c>
      <c r="AH4" s="22">
        <f>+MCFS!AD14</f>
        <v>495888.63245853048</v>
      </c>
      <c r="AI4" s="22">
        <f>+MCFS!AE14</f>
        <v>297688.32247392467</v>
      </c>
      <c r="AJ4" s="22">
        <f>+MCFS!AF14</f>
        <v>0</v>
      </c>
      <c r="AN4" s="156" t="s">
        <v>403</v>
      </c>
      <c r="AO4" s="22">
        <f>+MCFS!AJ14</f>
        <v>309539.57178515283</v>
      </c>
      <c r="AP4" s="22">
        <f>+MCFS!AK14</f>
        <v>309539.57178515283</v>
      </c>
      <c r="AQ4" s="22">
        <f>+MCFS!AL14</f>
        <v>363587.52551030729</v>
      </c>
      <c r="AR4" s="22">
        <f>+MCFS!AM14</f>
        <v>843148.74846927694</v>
      </c>
      <c r="AS4" s="22">
        <f>+MCFS!AN14</f>
        <v>1414204.7044928267</v>
      </c>
      <c r="AT4" s="22">
        <f>+MCFS!AO14</f>
        <v>2083493.6347172628</v>
      </c>
      <c r="AU4" s="22">
        <f>+MCFS!AP14</f>
        <v>2379943.1773195541</v>
      </c>
      <c r="AV4" s="22">
        <f>+MCFS!AQ14</f>
        <v>1951559.549631254</v>
      </c>
      <c r="AW4" s="22">
        <f>+MCFS!AR14</f>
        <v>1561742.4397372305</v>
      </c>
      <c r="AX4" s="22">
        <f>+MCFS!AS14</f>
        <v>901939.89487606799</v>
      </c>
      <c r="AY4" s="22">
        <f>+MCFS!AT14</f>
        <v>499267.27905061911</v>
      </c>
      <c r="AZ4" s="22">
        <f>+MCFS!AU14</f>
        <v>299554.42430821242</v>
      </c>
      <c r="BA4" s="22">
        <f>+MCFS!AV14</f>
        <v>0</v>
      </c>
    </row>
    <row r="5" spans="5:53" s="22" customFormat="1">
      <c r="E5" s="370"/>
      <c r="F5" s="156" t="s">
        <v>404</v>
      </c>
      <c r="G5" s="22">
        <f>+MCFS!D15</f>
        <v>247466.66666666669</v>
      </c>
      <c r="H5" s="22">
        <f>+MCFS!E15</f>
        <v>240280.70175438598</v>
      </c>
      <c r="I5" s="22">
        <f>+MCFS!F15</f>
        <v>220856.14035087722</v>
      </c>
      <c r="J5" s="22">
        <f>+MCFS!G15</f>
        <v>333024.56140350876</v>
      </c>
      <c r="K5" s="22">
        <f>+MCFS!H15</f>
        <v>345263.15789473685</v>
      </c>
      <c r="L5" s="22">
        <f>+MCFS!I15</f>
        <v>417347.36842105264</v>
      </c>
      <c r="M5" s="22">
        <f>+MCFS!J15</f>
        <v>430147.36842105264</v>
      </c>
      <c r="N5" s="22">
        <f>+MCFS!K15</f>
        <v>374231.57894736843</v>
      </c>
      <c r="O5" s="22">
        <f>+MCFS!L15</f>
        <v>338189.47368421056</v>
      </c>
      <c r="P5" s="22">
        <f>+MCFS!M15</f>
        <v>324715.78947368421</v>
      </c>
      <c r="Q5" s="22">
        <f>+MCFS!N15</f>
        <v>260266.66666666669</v>
      </c>
      <c r="R5" s="22">
        <f>+MCFS!O15</f>
        <v>231073.68421052632</v>
      </c>
      <c r="S5" s="131">
        <f>+MCFS!P15</f>
        <v>3762863.1578947366</v>
      </c>
      <c r="W5" s="156" t="s">
        <v>404</v>
      </c>
      <c r="X5" s="22">
        <f>+MCFS!T15</f>
        <v>249487.71929824565</v>
      </c>
      <c r="Y5" s="22">
        <f>+MCFS!U15</f>
        <v>238035.08771929826</v>
      </c>
      <c r="Z5" s="22">
        <f>+MCFS!V15</f>
        <v>216028.0701754386</v>
      </c>
      <c r="AA5" s="22">
        <f>+MCFS!W15</f>
        <v>346049.12280701759</v>
      </c>
      <c r="AB5" s="22">
        <f>+MCFS!X15</f>
        <v>353235.08771929826</v>
      </c>
      <c r="AC5" s="22">
        <f>+MCFS!Y15</f>
        <v>427901.75438596494</v>
      </c>
      <c r="AD5" s="22">
        <f>+MCFS!Z15</f>
        <v>441824.56140350876</v>
      </c>
      <c r="AE5" s="22">
        <f>+MCFS!AA15</f>
        <v>391635.08771929826</v>
      </c>
      <c r="AF5" s="22">
        <f>+MCFS!AB15</f>
        <v>354582.4561403509</v>
      </c>
      <c r="AG5" s="22">
        <f>+MCFS!AC15</f>
        <v>335719.29824561405</v>
      </c>
      <c r="AH5" s="22">
        <f>+MCFS!AD15</f>
        <v>274750.87719298247</v>
      </c>
      <c r="AI5" s="22">
        <f>+MCFS!AE15</f>
        <v>238933.33333333337</v>
      </c>
      <c r="AJ5" s="59">
        <f>+MCFS!AF15</f>
        <v>3868182.4561403515</v>
      </c>
      <c r="AN5" s="156" t="s">
        <v>404</v>
      </c>
      <c r="AO5" s="22">
        <f>+MCFS!AJ15</f>
        <v>255157.89473684211</v>
      </c>
      <c r="AP5" s="22">
        <f>+MCFS!AK15</f>
        <v>243705.26315789475</v>
      </c>
      <c r="AQ5" s="22">
        <f>+MCFS!AL15</f>
        <v>221754.38596491228</v>
      </c>
      <c r="AR5" s="22">
        <f>+MCFS!AM15</f>
        <v>353010.5263157895</v>
      </c>
      <c r="AS5" s="22">
        <f>+MCFS!AN15</f>
        <v>364912.28070175444</v>
      </c>
      <c r="AT5" s="22">
        <f>+MCFS!AO15</f>
        <v>438680.70175438601</v>
      </c>
      <c r="AU5" s="22">
        <f>+MCFS!AP15</f>
        <v>452715.78947368421</v>
      </c>
      <c r="AV5" s="22">
        <f>+MCFS!AQ15</f>
        <v>397810.5263157895</v>
      </c>
      <c r="AW5" s="22">
        <f>+MCFS!AR15</f>
        <v>363003.50877192983</v>
      </c>
      <c r="AX5" s="22">
        <f>+MCFS!AS15</f>
        <v>343915.78947368421</v>
      </c>
      <c r="AY5" s="22">
        <f>+MCFS!AT15</f>
        <v>280477.19298245612</v>
      </c>
      <c r="AZ5" s="22">
        <f>+MCFS!AU15</f>
        <v>244659.64912280705</v>
      </c>
      <c r="BA5" s="59">
        <f>+MCFS!AV15</f>
        <v>3959803.5087719304</v>
      </c>
    </row>
    <row r="6" spans="5:53" s="22" customFormat="1">
      <c r="E6" s="370"/>
      <c r="F6" s="156" t="s">
        <v>405</v>
      </c>
      <c r="G6" s="22">
        <f>+MCFS!D16</f>
        <v>247466.66666666669</v>
      </c>
      <c r="H6" s="22">
        <f>+MCFS!E16</f>
        <v>487747.3684210527</v>
      </c>
      <c r="I6" s="22">
        <f>+MCFS!F16</f>
        <v>708603.50877192989</v>
      </c>
      <c r="J6" s="22">
        <f>+MCFS!G16</f>
        <v>1041628.0701754387</v>
      </c>
      <c r="K6" s="22">
        <f>+MCFS!H16</f>
        <v>1386891.2280701755</v>
      </c>
      <c r="L6" s="22">
        <f>+MCFS!I16</f>
        <v>1804238.5964912281</v>
      </c>
      <c r="M6" s="22">
        <f>+MCFS!J16</f>
        <v>2234385.9649122809</v>
      </c>
      <c r="N6" s="22">
        <f>+MCFS!K16</f>
        <v>2608617.5438596494</v>
      </c>
      <c r="O6" s="22">
        <f>+MCFS!L16</f>
        <v>2946807.0175438598</v>
      </c>
      <c r="P6" s="22">
        <f>+MCFS!M16</f>
        <v>3271522.8070175438</v>
      </c>
      <c r="Q6" s="22">
        <f>+MCFS!N16</f>
        <v>3531789.4736842103</v>
      </c>
      <c r="R6" s="22">
        <f>+MCFS!O16</f>
        <v>3762863.1578947366</v>
      </c>
      <c r="S6" s="131"/>
      <c r="W6" s="156" t="s">
        <v>405</v>
      </c>
      <c r="X6" s="22">
        <f>+MCFS!T16</f>
        <v>249487.71929824565</v>
      </c>
      <c r="Y6" s="22">
        <f>+MCFS!U16</f>
        <v>238035.08771929826</v>
      </c>
      <c r="Z6" s="22">
        <f>+MCFS!V16</f>
        <v>216028.0701754386</v>
      </c>
      <c r="AA6" s="22">
        <f>+MCFS!W16</f>
        <v>346049.12280701759</v>
      </c>
      <c r="AB6" s="22">
        <f>+MCFS!X16</f>
        <v>353235.08771929826</v>
      </c>
      <c r="AC6" s="22">
        <f>+MCFS!Y16</f>
        <v>427901.75438596494</v>
      </c>
      <c r="AD6" s="22">
        <f>+MCFS!Z16</f>
        <v>441824.56140350876</v>
      </c>
      <c r="AE6" s="22">
        <f>+MCFS!AA16</f>
        <v>391635.08771929826</v>
      </c>
      <c r="AF6" s="22">
        <f>+MCFS!AB16</f>
        <v>354582.4561403509</v>
      </c>
      <c r="AG6" s="22">
        <f>+MCFS!AC16</f>
        <v>335719.29824561405</v>
      </c>
      <c r="AH6" s="22">
        <f>+MCFS!AD16</f>
        <v>274750.87719298247</v>
      </c>
      <c r="AI6" s="22">
        <f>+MCFS!AE16</f>
        <v>238933.33333333337</v>
      </c>
      <c r="AJ6" s="22">
        <f>+MCFS!AF16</f>
        <v>0</v>
      </c>
      <c r="AN6" s="156" t="s">
        <v>405</v>
      </c>
      <c r="AO6" s="22">
        <f>+MCFS!AJ16</f>
        <v>255157.89473684211</v>
      </c>
      <c r="AP6" s="22">
        <f>+MCFS!AK16</f>
        <v>243705.26315789475</v>
      </c>
      <c r="AQ6" s="22">
        <f>+MCFS!AL16</f>
        <v>221754.38596491228</v>
      </c>
      <c r="AR6" s="22">
        <f>+MCFS!AM16</f>
        <v>353010.5263157895</v>
      </c>
      <c r="AS6" s="22">
        <f>+MCFS!AN16</f>
        <v>364912.28070175444</v>
      </c>
      <c r="AT6" s="22">
        <f>+MCFS!AO16</f>
        <v>438680.70175438601</v>
      </c>
      <c r="AU6" s="22">
        <f>+MCFS!AP16</f>
        <v>452715.78947368421</v>
      </c>
      <c r="AV6" s="22">
        <f>+MCFS!AQ16</f>
        <v>397810.5263157895</v>
      </c>
      <c r="AW6" s="22">
        <f>+MCFS!AR16</f>
        <v>363003.50877192983</v>
      </c>
      <c r="AX6" s="22">
        <f>+MCFS!AS16</f>
        <v>343915.78947368421</v>
      </c>
      <c r="AY6" s="22">
        <f>+MCFS!AT16</f>
        <v>280477.19298245612</v>
      </c>
      <c r="AZ6" s="22">
        <f>+MCFS!AU16</f>
        <v>244659.64912280705</v>
      </c>
      <c r="BA6" s="22">
        <f>+MCFS!AV16</f>
        <v>0</v>
      </c>
    </row>
    <row r="7" spans="5:53" s="22" customFormat="1">
      <c r="E7" s="370"/>
      <c r="F7" s="22" t="s">
        <v>415</v>
      </c>
      <c r="G7" s="143">
        <f>+MCFS!D17</f>
        <v>553365.36634159624</v>
      </c>
      <c r="H7" s="143">
        <f>+MCFS!E17</f>
        <v>546179.40142931556</v>
      </c>
      <c r="I7" s="143">
        <f>+MCFS!F17</f>
        <v>580001.34616887954</v>
      </c>
      <c r="J7" s="143">
        <f>+MCFS!G17</f>
        <v>1164874.9788499936</v>
      </c>
      <c r="K7" s="28">
        <f>+MCFS!H17</f>
        <v>1739948.8569251793</v>
      </c>
      <c r="L7" s="28">
        <f>+MCFS!I17</f>
        <v>2471743.3342876416</v>
      </c>
      <c r="M7" s="28">
        <f>+MCFS!J17</f>
        <v>2776738.7330496171</v>
      </c>
      <c r="N7" s="28">
        <f>+MCFS!K17</f>
        <v>2298509.2276712968</v>
      </c>
      <c r="O7" s="28">
        <f>+MCFS!L17</f>
        <v>1878321.5377297236</v>
      </c>
      <c r="P7" s="143">
        <f>+MCFS!M17</f>
        <v>1214487.8394434336</v>
      </c>
      <c r="Q7" s="143">
        <f>+MCFS!N17</f>
        <v>753170.42154926027</v>
      </c>
      <c r="R7" s="143">
        <f>+MCFS!O17</f>
        <v>527104.68389594206</v>
      </c>
      <c r="S7" s="131">
        <f>+MCFS!P17</f>
        <v>16504445.727341879</v>
      </c>
      <c r="W7" s="22" t="s">
        <v>415</v>
      </c>
      <c r="X7" s="443">
        <f>+MCFS!T17</f>
        <v>557098.98585463443</v>
      </c>
      <c r="Y7" s="143">
        <f>+MCFS!U17</f>
        <v>545646.35427568702</v>
      </c>
      <c r="Z7" s="143">
        <f>+MCFS!V17</f>
        <v>577260.00364133599</v>
      </c>
      <c r="AA7" s="143">
        <f>+MCFS!W17</f>
        <v>1183190.4809631801</v>
      </c>
      <c r="AB7" s="131">
        <f>+MCFS!X17</f>
        <v>1757052.9348683055</v>
      </c>
      <c r="AC7" s="131">
        <f>+MCFS!Y17</f>
        <v>2495906.3921273788</v>
      </c>
      <c r="AD7" s="131">
        <f>+MCFS!Z17</f>
        <v>2804012.583367019</v>
      </c>
      <c r="AE7" s="131">
        <f>+MCFS!AA17</f>
        <v>2328671.8090409189</v>
      </c>
      <c r="AF7" s="131">
        <f>+MCFS!AB17</f>
        <v>1904824.3376508751</v>
      </c>
      <c r="AG7" s="143">
        <f>+MCFS!AC17</f>
        <v>1231188.2574588384</v>
      </c>
      <c r="AH7" s="143">
        <f>+MCFS!AD17</f>
        <v>770639.50965151296</v>
      </c>
      <c r="AI7" s="143">
        <f>+MCFS!AE17</f>
        <v>536621.6558072581</v>
      </c>
      <c r="AJ7" s="131">
        <f>+MCFS!AF17</f>
        <v>16692113.304706944</v>
      </c>
      <c r="AN7" s="22" t="s">
        <v>415</v>
      </c>
      <c r="AO7" s="143">
        <f>+MCFS!AJ17</f>
        <v>564697.46652199491</v>
      </c>
      <c r="AP7" s="143">
        <f>+MCFS!AK17</f>
        <v>553244.83494304761</v>
      </c>
      <c r="AQ7" s="143">
        <f>+MCFS!AL17</f>
        <v>585341.91147521953</v>
      </c>
      <c r="AR7" s="143">
        <f>+MCFS!AM17</f>
        <v>1196159.2747850665</v>
      </c>
      <c r="AS7" s="131">
        <f>+MCFS!AN17</f>
        <v>1779116.9851945811</v>
      </c>
      <c r="AT7" s="131">
        <f>+MCFS!AO17</f>
        <v>2522174.3364716489</v>
      </c>
      <c r="AU7" s="131">
        <f>+MCFS!AP17</f>
        <v>2832658.9667932382</v>
      </c>
      <c r="AV7" s="131">
        <f>+MCFS!AQ17</f>
        <v>2349370.0759470435</v>
      </c>
      <c r="AW7" s="131">
        <f>+MCFS!AR17</f>
        <v>1924745.9485091604</v>
      </c>
      <c r="AX7" s="143">
        <f>+MCFS!AS17</f>
        <v>1245855.6843497523</v>
      </c>
      <c r="AY7" s="143">
        <f>+MCFS!AT17</f>
        <v>779744.47203307529</v>
      </c>
      <c r="AZ7" s="143">
        <f>+MCFS!AU17</f>
        <v>544214.07343101944</v>
      </c>
      <c r="BA7" s="131">
        <f>+MCFS!AV17</f>
        <v>16877324.030454848</v>
      </c>
    </row>
    <row r="8" spans="5:53" s="22" customFormat="1">
      <c r="E8" s="370"/>
      <c r="F8" s="22" t="s">
        <v>416</v>
      </c>
      <c r="G8" s="22">
        <f>+MCFS!D18</f>
        <v>553365.36634159624</v>
      </c>
      <c r="H8" s="22">
        <f>+MCFS!E18</f>
        <v>1099544.7677709118</v>
      </c>
      <c r="I8" s="22">
        <f>+MCFS!F18</f>
        <v>1679546.1139397915</v>
      </c>
      <c r="J8" s="22">
        <f>+MCFS!G18</f>
        <v>2844421.092789785</v>
      </c>
      <c r="K8" s="22">
        <f>+MCFS!H18</f>
        <v>4584369.9497149643</v>
      </c>
      <c r="L8" s="22">
        <f>+MCFS!I18</f>
        <v>7056113.2840026058</v>
      </c>
      <c r="M8" s="22">
        <f>+MCFS!J18</f>
        <v>9832852.017052222</v>
      </c>
      <c r="N8" s="22">
        <f>+MCFS!K18</f>
        <v>12131361.244723519</v>
      </c>
      <c r="O8" s="22">
        <f>+MCFS!L18</f>
        <v>14009682.782453243</v>
      </c>
      <c r="P8" s="22">
        <f>+MCFS!M18</f>
        <v>15224170.621896677</v>
      </c>
      <c r="Q8" s="22">
        <f>+MCFS!N18</f>
        <v>15977341.043445937</v>
      </c>
      <c r="R8" s="22">
        <f>+MCFS!O18</f>
        <v>16504445.727341879</v>
      </c>
      <c r="S8" s="131"/>
      <c r="W8" s="22" t="s">
        <v>416</v>
      </c>
      <c r="X8" s="22">
        <f>+MCFS!T18</f>
        <v>557098.98585463443</v>
      </c>
      <c r="Y8" s="22">
        <f>+MCFS!U18</f>
        <v>1102745.3401303214</v>
      </c>
      <c r="Z8" s="22">
        <f>+MCFS!V18</f>
        <v>1680005.3437716574</v>
      </c>
      <c r="AA8" s="22">
        <f>+MCFS!W18</f>
        <v>2863195.8247348377</v>
      </c>
      <c r="AB8" s="22">
        <f>+MCFS!X18</f>
        <v>4620248.7596031427</v>
      </c>
      <c r="AC8" s="22">
        <f>+MCFS!Y18</f>
        <v>7116155.1517305216</v>
      </c>
      <c r="AD8" s="22">
        <f>+MCFS!Z18</f>
        <v>9920167.7350975405</v>
      </c>
      <c r="AE8" s="22">
        <f>+MCFS!AA18</f>
        <v>12248839.544138459</v>
      </c>
      <c r="AF8" s="22">
        <f>+MCFS!AB18</f>
        <v>14153663.881789334</v>
      </c>
      <c r="AG8" s="22">
        <f>+MCFS!AC18</f>
        <v>15384852.139248172</v>
      </c>
      <c r="AH8" s="22">
        <f>+MCFS!AD18</f>
        <v>16155491.648899686</v>
      </c>
      <c r="AI8" s="22">
        <f>+MCFS!AE18</f>
        <v>16692113.304706944</v>
      </c>
      <c r="AJ8" s="22">
        <f>+MCFS!AF18</f>
        <v>0</v>
      </c>
      <c r="AN8" s="22" t="s">
        <v>416</v>
      </c>
      <c r="AO8" s="22">
        <f>+MCFS!AJ18</f>
        <v>564697.46652199491</v>
      </c>
      <c r="AP8" s="22">
        <f>+MCFS!AK18</f>
        <v>1117942.3014650424</v>
      </c>
      <c r="AQ8" s="22">
        <f>+MCFS!AL18</f>
        <v>1703284.2129402619</v>
      </c>
      <c r="AR8" s="22">
        <f>+MCFS!AM18</f>
        <v>2899443.4877253287</v>
      </c>
      <c r="AS8" s="22">
        <f>+MCFS!AN18</f>
        <v>4678560.4729199093</v>
      </c>
      <c r="AT8" s="22">
        <f>+MCFS!AO18</f>
        <v>7200734.8093915582</v>
      </c>
      <c r="AU8" s="22">
        <f>+MCFS!AP18</f>
        <v>10033393.776184797</v>
      </c>
      <c r="AV8" s="22">
        <f>+MCFS!AQ18</f>
        <v>12382763.85213184</v>
      </c>
      <c r="AW8" s="22">
        <f>+MCFS!AR18</f>
        <v>14307509.800641</v>
      </c>
      <c r="AX8" s="22">
        <f>+MCFS!AS18</f>
        <v>15553365.484990753</v>
      </c>
      <c r="AY8" s="22">
        <f>+MCFS!AT18</f>
        <v>16333109.957023829</v>
      </c>
      <c r="AZ8" s="22">
        <f>+MCFS!AU18</f>
        <v>16877324.030454848</v>
      </c>
      <c r="BA8" s="22">
        <f>+MCFS!AV18</f>
        <v>0</v>
      </c>
    </row>
    <row r="9" spans="5:53" s="22" customFormat="1">
      <c r="E9" s="370"/>
      <c r="M9" s="22">
        <f>1800000*0.06</f>
        <v>108000</v>
      </c>
      <c r="S9" s="131"/>
    </row>
    <row r="10" spans="5:53" s="22" customFormat="1" ht="50.1" customHeight="1">
      <c r="E10" s="370"/>
      <c r="F10" s="59" t="s">
        <v>397</v>
      </c>
      <c r="O10" s="444"/>
      <c r="Q10" s="346"/>
      <c r="S10" s="131"/>
      <c r="W10" s="59" t="s">
        <v>397</v>
      </c>
      <c r="X10" s="28"/>
      <c r="Y10" s="28"/>
      <c r="Z10" s="311"/>
      <c r="AA10" s="28"/>
      <c r="AB10" s="28"/>
      <c r="AC10" s="28"/>
      <c r="AD10" s="28"/>
      <c r="AE10" s="28"/>
      <c r="AG10" s="28"/>
      <c r="AH10" s="312"/>
      <c r="AI10" s="28"/>
      <c r="AJ10" s="59"/>
      <c r="AN10" s="59" t="s">
        <v>397</v>
      </c>
      <c r="AO10" s="28"/>
      <c r="AP10" s="28"/>
      <c r="AQ10" s="28"/>
      <c r="AR10" s="28"/>
      <c r="AS10" s="28"/>
      <c r="AT10" s="28"/>
      <c r="AU10" s="28"/>
      <c r="AV10" s="28"/>
      <c r="AX10" s="28"/>
      <c r="AY10" s="28"/>
      <c r="AZ10" s="28"/>
    </row>
    <row r="11" spans="5:53" s="22" customFormat="1">
      <c r="E11" s="370"/>
      <c r="F11" s="22" t="s">
        <v>901</v>
      </c>
      <c r="G11" s="132"/>
      <c r="H11" s="132"/>
      <c r="I11" s="132"/>
      <c r="J11" s="132"/>
      <c r="K11" s="132">
        <f>K43</f>
        <v>300000</v>
      </c>
      <c r="L11" s="132">
        <f>L43</f>
        <v>465000</v>
      </c>
      <c r="M11" s="132">
        <f>M43</f>
        <v>465000</v>
      </c>
      <c r="N11" s="132">
        <f>N43</f>
        <v>420000</v>
      </c>
      <c r="O11" s="132">
        <f>O43</f>
        <v>310000</v>
      </c>
      <c r="P11" s="132"/>
      <c r="Q11" s="132"/>
      <c r="R11" s="132"/>
      <c r="S11" s="131">
        <f>SUM(G11:R11)</f>
        <v>1960000</v>
      </c>
      <c r="W11" s="22" t="s">
        <v>901</v>
      </c>
      <c r="X11" s="132"/>
      <c r="Y11" s="132"/>
      <c r="Z11" s="132"/>
      <c r="AA11" s="132"/>
      <c r="AB11" s="132">
        <f>AB43</f>
        <v>300000</v>
      </c>
      <c r="AC11" s="132">
        <f>AC43</f>
        <v>465000</v>
      </c>
      <c r="AD11" s="132">
        <f>AD43</f>
        <v>465000</v>
      </c>
      <c r="AE11" s="132">
        <f>AE43</f>
        <v>435000</v>
      </c>
      <c r="AF11" s="132">
        <f>AF43</f>
        <v>306900</v>
      </c>
      <c r="AG11" s="132"/>
      <c r="AH11" s="132"/>
      <c r="AI11" s="132"/>
      <c r="AJ11" s="59">
        <f>SUM(X11:AI11)</f>
        <v>1971900</v>
      </c>
      <c r="AN11" s="22" t="s">
        <v>901</v>
      </c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59">
        <f>SUM(AO11:AZ11)</f>
        <v>0</v>
      </c>
    </row>
    <row r="12" spans="5:53" s="22" customFormat="1">
      <c r="E12" s="370"/>
      <c r="F12" s="22" t="s">
        <v>902</v>
      </c>
      <c r="G12" s="132">
        <f>G43</f>
        <v>347200</v>
      </c>
      <c r="H12" s="132">
        <f>H43</f>
        <v>347200</v>
      </c>
      <c r="I12" s="132">
        <f>I43</f>
        <v>225000</v>
      </c>
      <c r="J12" s="132">
        <f>J43</f>
        <v>120900</v>
      </c>
      <c r="K12" s="132"/>
      <c r="L12" s="132"/>
      <c r="M12" s="132"/>
      <c r="N12" s="132"/>
      <c r="O12" s="132"/>
      <c r="P12" s="132">
        <f>P43</f>
        <v>261000</v>
      </c>
      <c r="Q12" s="132">
        <f>Q43</f>
        <v>347200</v>
      </c>
      <c r="R12" s="132">
        <f>R43</f>
        <v>348000</v>
      </c>
      <c r="S12" s="131">
        <f>SUM(G12:R12)</f>
        <v>1996500</v>
      </c>
      <c r="W12" s="22" t="s">
        <v>902</v>
      </c>
      <c r="X12" s="132">
        <f>X43</f>
        <v>347200</v>
      </c>
      <c r="Y12" s="132">
        <f>Y43</f>
        <v>347200</v>
      </c>
      <c r="Z12" s="132">
        <f>Z43</f>
        <v>225000</v>
      </c>
      <c r="AA12" s="132">
        <f>AA43</f>
        <v>120900</v>
      </c>
      <c r="AB12" s="132"/>
      <c r="AC12" s="132"/>
      <c r="AD12" s="132"/>
      <c r="AE12" s="132"/>
      <c r="AF12" s="132"/>
      <c r="AG12" s="132">
        <f>AG43</f>
        <v>261000</v>
      </c>
      <c r="AH12" s="132">
        <f>AH43</f>
        <v>347200</v>
      </c>
      <c r="AI12" s="132">
        <f>AI43</f>
        <v>348000</v>
      </c>
      <c r="AJ12" s="59">
        <f>SUM(X12:AI12)</f>
        <v>1996500</v>
      </c>
      <c r="AN12" s="22" t="s">
        <v>902</v>
      </c>
      <c r="AO12" s="132">
        <f>AO43</f>
        <v>347200</v>
      </c>
      <c r="AP12" s="132">
        <f>AP43</f>
        <v>347200</v>
      </c>
      <c r="AQ12" s="132">
        <f>AQ43</f>
        <v>225000</v>
      </c>
      <c r="AR12" s="132">
        <f>AR43</f>
        <v>120900</v>
      </c>
      <c r="AS12" s="132"/>
      <c r="AT12" s="132"/>
      <c r="AU12" s="132"/>
      <c r="AV12" s="132"/>
      <c r="AW12" s="132"/>
      <c r="AX12" s="132">
        <f>AX32</f>
        <v>248243.94</v>
      </c>
      <c r="AY12" s="132">
        <f>AY32</f>
        <v>358574.58</v>
      </c>
      <c r="AZ12" s="132">
        <f>AZ32</f>
        <v>358574.58</v>
      </c>
      <c r="BA12" s="59">
        <f>SUM(AO12:AZ12)</f>
        <v>2005693.1</v>
      </c>
    </row>
    <row r="13" spans="5:53" s="22" customFormat="1">
      <c r="E13" s="370"/>
      <c r="F13" s="22" t="s">
        <v>764</v>
      </c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1">
        <f t="shared" ref="S13:S29" si="0">SUM(G13:R13)</f>
        <v>0</v>
      </c>
      <c r="W13" s="22" t="s">
        <v>764</v>
      </c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59">
        <f t="shared" ref="AJ13:AJ29" si="1">SUM(X13:AI13)</f>
        <v>0</v>
      </c>
      <c r="AN13" s="22" t="s">
        <v>764</v>
      </c>
      <c r="AO13" s="132"/>
      <c r="AP13" s="132"/>
      <c r="AQ13" s="132"/>
      <c r="AR13" s="132">
        <v>520000</v>
      </c>
      <c r="AS13" s="132">
        <v>340000</v>
      </c>
      <c r="AT13" s="132">
        <v>0</v>
      </c>
      <c r="AU13" s="132">
        <v>125000</v>
      </c>
      <c r="AV13" s="132">
        <v>60000</v>
      </c>
      <c r="AW13" s="132">
        <v>170000</v>
      </c>
      <c r="AX13" s="132">
        <v>50000</v>
      </c>
      <c r="AY13" s="132"/>
      <c r="AZ13" s="132">
        <v>20000</v>
      </c>
      <c r="BA13" s="59">
        <f t="shared" ref="BA13:BA29" si="2">SUM(AO13:AZ13)</f>
        <v>1285000</v>
      </c>
    </row>
    <row r="14" spans="5:53" s="22" customFormat="1">
      <c r="E14" s="370"/>
      <c r="F14" s="22" t="s">
        <v>763</v>
      </c>
      <c r="G14" s="219">
        <f>13502*G1</f>
        <v>418562</v>
      </c>
      <c r="H14" s="219">
        <f t="shared" ref="H14:R14" si="3">13502*H1</f>
        <v>418562</v>
      </c>
      <c r="I14" s="219">
        <f t="shared" si="3"/>
        <v>405060</v>
      </c>
      <c r="J14" s="219">
        <f t="shared" si="3"/>
        <v>418562</v>
      </c>
      <c r="K14" s="219">
        <f t="shared" si="3"/>
        <v>405060</v>
      </c>
      <c r="L14" s="219">
        <f t="shared" si="3"/>
        <v>418562</v>
      </c>
      <c r="M14" s="219">
        <f t="shared" si="3"/>
        <v>418562</v>
      </c>
      <c r="N14" s="219">
        <f t="shared" si="3"/>
        <v>378056</v>
      </c>
      <c r="O14" s="219">
        <f t="shared" si="3"/>
        <v>418562</v>
      </c>
      <c r="P14" s="219">
        <f t="shared" si="3"/>
        <v>405060</v>
      </c>
      <c r="Q14" s="219">
        <f t="shared" si="3"/>
        <v>418562</v>
      </c>
      <c r="R14" s="219">
        <f t="shared" si="3"/>
        <v>405060</v>
      </c>
      <c r="S14" s="131">
        <f t="shared" si="0"/>
        <v>4928230</v>
      </c>
      <c r="W14" s="22" t="s">
        <v>426</v>
      </c>
      <c r="X14" s="219">
        <f>13502*X1</f>
        <v>418562</v>
      </c>
      <c r="Y14" s="219">
        <f t="shared" ref="Y14:AI14" si="4">13502*Y1</f>
        <v>418562</v>
      </c>
      <c r="Z14" s="219">
        <f t="shared" si="4"/>
        <v>405060</v>
      </c>
      <c r="AA14" s="219">
        <f t="shared" si="4"/>
        <v>418562</v>
      </c>
      <c r="AB14" s="219">
        <f t="shared" si="4"/>
        <v>405060</v>
      </c>
      <c r="AC14" s="219">
        <f t="shared" si="4"/>
        <v>418562</v>
      </c>
      <c r="AD14" s="219">
        <f t="shared" si="4"/>
        <v>418562</v>
      </c>
      <c r="AE14" s="219">
        <f t="shared" si="4"/>
        <v>391558</v>
      </c>
      <c r="AF14" s="219">
        <f t="shared" si="4"/>
        <v>418562</v>
      </c>
      <c r="AG14" s="219">
        <f t="shared" si="4"/>
        <v>405060</v>
      </c>
      <c r="AH14" s="219">
        <f t="shared" si="4"/>
        <v>418562</v>
      </c>
      <c r="AI14" s="219">
        <f t="shared" si="4"/>
        <v>405060</v>
      </c>
      <c r="AJ14" s="59">
        <f t="shared" si="1"/>
        <v>4941732</v>
      </c>
      <c r="AN14" s="22" t="s">
        <v>426</v>
      </c>
      <c r="AO14" s="219">
        <f>13502*AO1</f>
        <v>418562</v>
      </c>
      <c r="AP14" s="219">
        <f t="shared" ref="AP14:AZ14" si="5">13502*AP1</f>
        <v>418562</v>
      </c>
      <c r="AQ14" s="219">
        <f t="shared" si="5"/>
        <v>405060</v>
      </c>
      <c r="AR14" s="219">
        <f t="shared" si="5"/>
        <v>418562</v>
      </c>
      <c r="AS14" s="219">
        <f t="shared" si="5"/>
        <v>405060</v>
      </c>
      <c r="AT14" s="219">
        <f t="shared" si="5"/>
        <v>418562</v>
      </c>
      <c r="AU14" s="219">
        <f t="shared" si="5"/>
        <v>418562</v>
      </c>
      <c r="AV14" s="219">
        <f t="shared" si="5"/>
        <v>378056</v>
      </c>
      <c r="AW14" s="219">
        <f t="shared" si="5"/>
        <v>418562</v>
      </c>
      <c r="AX14" s="219">
        <f t="shared" si="5"/>
        <v>405060</v>
      </c>
      <c r="AY14" s="219">
        <f t="shared" si="5"/>
        <v>418562</v>
      </c>
      <c r="AZ14" s="219">
        <f t="shared" si="5"/>
        <v>405060</v>
      </c>
      <c r="BA14" s="59">
        <f t="shared" si="2"/>
        <v>4928230</v>
      </c>
    </row>
    <row r="15" spans="5:53" s="22" customFormat="1">
      <c r="E15" s="370"/>
      <c r="F15" s="59" t="s">
        <v>427</v>
      </c>
      <c r="G15" s="28">
        <f t="shared" ref="G15:R15" si="6">SUM(G11:G14)</f>
        <v>765762</v>
      </c>
      <c r="H15" s="28">
        <f t="shared" si="6"/>
        <v>765762</v>
      </c>
      <c r="I15" s="28">
        <f t="shared" si="6"/>
        <v>630060</v>
      </c>
      <c r="J15" s="28">
        <f t="shared" si="6"/>
        <v>539462</v>
      </c>
      <c r="K15" s="28">
        <f t="shared" si="6"/>
        <v>705060</v>
      </c>
      <c r="L15" s="28">
        <f t="shared" si="6"/>
        <v>883562</v>
      </c>
      <c r="M15" s="28">
        <f t="shared" si="6"/>
        <v>883562</v>
      </c>
      <c r="N15" s="28">
        <f t="shared" si="6"/>
        <v>798056</v>
      </c>
      <c r="O15" s="28">
        <f t="shared" si="6"/>
        <v>728562</v>
      </c>
      <c r="P15" s="28">
        <f t="shared" si="6"/>
        <v>666060</v>
      </c>
      <c r="Q15" s="28">
        <f t="shared" si="6"/>
        <v>765762</v>
      </c>
      <c r="R15" s="28">
        <f t="shared" si="6"/>
        <v>753060</v>
      </c>
      <c r="S15" s="131">
        <f t="shared" si="0"/>
        <v>8884730</v>
      </c>
      <c r="T15" s="124"/>
      <c r="W15" s="59" t="s">
        <v>427</v>
      </c>
      <c r="X15" s="28">
        <f t="shared" ref="X15:AI15" si="7">SUM(X11:X14)</f>
        <v>765762</v>
      </c>
      <c r="Y15" s="28">
        <f t="shared" si="7"/>
        <v>765762</v>
      </c>
      <c r="Z15" s="28">
        <f t="shared" si="7"/>
        <v>630060</v>
      </c>
      <c r="AA15" s="28">
        <f t="shared" si="7"/>
        <v>539462</v>
      </c>
      <c r="AB15" s="28">
        <f t="shared" si="7"/>
        <v>705060</v>
      </c>
      <c r="AC15" s="28">
        <f t="shared" si="7"/>
        <v>883562</v>
      </c>
      <c r="AD15" s="28">
        <f t="shared" si="7"/>
        <v>883562</v>
      </c>
      <c r="AE15" s="28">
        <f t="shared" si="7"/>
        <v>826558</v>
      </c>
      <c r="AF15" s="28">
        <f t="shared" si="7"/>
        <v>725462</v>
      </c>
      <c r="AG15" s="28">
        <f t="shared" si="7"/>
        <v>666060</v>
      </c>
      <c r="AH15" s="28">
        <f t="shared" si="7"/>
        <v>765762</v>
      </c>
      <c r="AI15" s="28">
        <f t="shared" si="7"/>
        <v>753060</v>
      </c>
      <c r="AJ15" s="59">
        <f t="shared" si="1"/>
        <v>8910132</v>
      </c>
      <c r="AN15" s="59" t="s">
        <v>427</v>
      </c>
      <c r="AO15" s="28">
        <f t="shared" ref="AO15:AZ15" si="8">SUM(AO11:AO14)</f>
        <v>765762</v>
      </c>
      <c r="AP15" s="28">
        <f t="shared" si="8"/>
        <v>765762</v>
      </c>
      <c r="AQ15" s="28">
        <f t="shared" si="8"/>
        <v>630060</v>
      </c>
      <c r="AR15" s="28">
        <f t="shared" si="8"/>
        <v>1059462</v>
      </c>
      <c r="AS15" s="28">
        <f t="shared" si="8"/>
        <v>745060</v>
      </c>
      <c r="AT15" s="28">
        <f t="shared" si="8"/>
        <v>418562</v>
      </c>
      <c r="AU15" s="28">
        <f t="shared" si="8"/>
        <v>543562</v>
      </c>
      <c r="AV15" s="28">
        <f t="shared" si="8"/>
        <v>438056</v>
      </c>
      <c r="AW15" s="28">
        <f t="shared" si="8"/>
        <v>588562</v>
      </c>
      <c r="AX15" s="28">
        <f t="shared" si="8"/>
        <v>703303.94</v>
      </c>
      <c r="AY15" s="28">
        <f t="shared" si="8"/>
        <v>777136.58000000007</v>
      </c>
      <c r="AZ15" s="28">
        <f t="shared" si="8"/>
        <v>783634.58000000007</v>
      </c>
      <c r="BA15" s="59">
        <f t="shared" si="2"/>
        <v>8218923.0999999996</v>
      </c>
    </row>
    <row r="16" spans="5:53" s="22" customFormat="1">
      <c r="E16" s="370"/>
      <c r="F16" s="22" t="s">
        <v>765</v>
      </c>
      <c r="G16" s="219">
        <f>9932*G1</f>
        <v>307892</v>
      </c>
      <c r="H16" s="219">
        <f t="shared" ref="H16:R16" si="9">9932*H1</f>
        <v>307892</v>
      </c>
      <c r="I16" s="219">
        <f t="shared" si="9"/>
        <v>297960</v>
      </c>
      <c r="J16" s="219">
        <f t="shared" si="9"/>
        <v>307892</v>
      </c>
      <c r="K16" s="219">
        <f t="shared" si="9"/>
        <v>297960</v>
      </c>
      <c r="L16" s="219">
        <f t="shared" si="9"/>
        <v>307892</v>
      </c>
      <c r="M16" s="219">
        <f t="shared" si="9"/>
        <v>307892</v>
      </c>
      <c r="N16" s="219">
        <f t="shared" si="9"/>
        <v>278096</v>
      </c>
      <c r="O16" s="219">
        <f t="shared" si="9"/>
        <v>307892</v>
      </c>
      <c r="P16" s="219">
        <f t="shared" si="9"/>
        <v>297960</v>
      </c>
      <c r="Q16" s="219">
        <f t="shared" si="9"/>
        <v>307892</v>
      </c>
      <c r="R16" s="219">
        <f t="shared" si="9"/>
        <v>297960</v>
      </c>
      <c r="S16" s="131">
        <f t="shared" si="0"/>
        <v>3625180</v>
      </c>
      <c r="W16" s="22" t="s">
        <v>428</v>
      </c>
      <c r="X16" s="219">
        <f>9932*X1</f>
        <v>307892</v>
      </c>
      <c r="Y16" s="219">
        <f t="shared" ref="Y16:AI16" si="10">9932*Y1</f>
        <v>307892</v>
      </c>
      <c r="Z16" s="219">
        <f t="shared" si="10"/>
        <v>297960</v>
      </c>
      <c r="AA16" s="219">
        <f t="shared" si="10"/>
        <v>307892</v>
      </c>
      <c r="AB16" s="219">
        <f t="shared" si="10"/>
        <v>297960</v>
      </c>
      <c r="AC16" s="219">
        <f t="shared" si="10"/>
        <v>307892</v>
      </c>
      <c r="AD16" s="219">
        <f t="shared" si="10"/>
        <v>307892</v>
      </c>
      <c r="AE16" s="219">
        <f t="shared" si="10"/>
        <v>288028</v>
      </c>
      <c r="AF16" s="219">
        <f t="shared" si="10"/>
        <v>307892</v>
      </c>
      <c r="AG16" s="219">
        <f t="shared" si="10"/>
        <v>297960</v>
      </c>
      <c r="AH16" s="219">
        <f t="shared" si="10"/>
        <v>307892</v>
      </c>
      <c r="AI16" s="219">
        <f t="shared" si="10"/>
        <v>297960</v>
      </c>
      <c r="AJ16" s="59">
        <f t="shared" si="1"/>
        <v>3635112</v>
      </c>
      <c r="AN16" s="22" t="s">
        <v>428</v>
      </c>
      <c r="AO16" s="219">
        <f>9932*AO1</f>
        <v>307892</v>
      </c>
      <c r="AP16" s="219">
        <f t="shared" ref="AP16:AZ16" si="11">9932*AP1</f>
        <v>307892</v>
      </c>
      <c r="AQ16" s="219">
        <f t="shared" si="11"/>
        <v>297960</v>
      </c>
      <c r="AR16" s="219">
        <f t="shared" si="11"/>
        <v>307892</v>
      </c>
      <c r="AS16" s="219">
        <f t="shared" si="11"/>
        <v>297960</v>
      </c>
      <c r="AT16" s="219">
        <f t="shared" si="11"/>
        <v>307892</v>
      </c>
      <c r="AU16" s="219">
        <f t="shared" si="11"/>
        <v>307892</v>
      </c>
      <c r="AV16" s="219">
        <f t="shared" si="11"/>
        <v>278096</v>
      </c>
      <c r="AW16" s="219">
        <f t="shared" si="11"/>
        <v>307892</v>
      </c>
      <c r="AX16" s="219">
        <f t="shared" si="11"/>
        <v>297960</v>
      </c>
      <c r="AY16" s="219">
        <f t="shared" si="11"/>
        <v>307892</v>
      </c>
      <c r="AZ16" s="219">
        <f t="shared" si="11"/>
        <v>297960</v>
      </c>
      <c r="BA16" s="59">
        <f t="shared" si="2"/>
        <v>3625180</v>
      </c>
    </row>
    <row r="17" spans="1:54" s="22" customFormat="1">
      <c r="E17" s="370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131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59"/>
      <c r="AO17" s="219"/>
      <c r="AP17" s="219"/>
      <c r="AQ17" s="219"/>
      <c r="AR17" s="219"/>
      <c r="AS17" s="219"/>
      <c r="AT17" s="219"/>
      <c r="AU17" s="219"/>
      <c r="AV17" s="219"/>
      <c r="AW17" s="219"/>
      <c r="AX17" s="219"/>
      <c r="AY17" s="219"/>
      <c r="AZ17" s="219"/>
      <c r="BA17" s="59"/>
    </row>
    <row r="18" spans="1:54" s="22" customFormat="1">
      <c r="E18" s="370"/>
      <c r="F18" s="22" t="s">
        <v>766</v>
      </c>
      <c r="G18" s="132"/>
      <c r="H18" s="132"/>
      <c r="I18" s="132"/>
      <c r="J18" s="132"/>
      <c r="K18" s="132">
        <f>5000*K1</f>
        <v>150000</v>
      </c>
      <c r="L18" s="132">
        <f>5000*L1</f>
        <v>155000</v>
      </c>
      <c r="M18" s="132">
        <f>5000*M1</f>
        <v>155000</v>
      </c>
      <c r="N18" s="132">
        <f>5000*N1</f>
        <v>140000</v>
      </c>
      <c r="O18" s="132">
        <f>5000*O1</f>
        <v>155000</v>
      </c>
      <c r="P18" s="132"/>
      <c r="Q18" s="132"/>
      <c r="R18" s="132"/>
      <c r="S18" s="131">
        <f t="shared" si="0"/>
        <v>755000</v>
      </c>
      <c r="W18" s="22" t="s">
        <v>766</v>
      </c>
      <c r="X18" s="132"/>
      <c r="Y18" s="132"/>
      <c r="Z18" s="132"/>
      <c r="AA18" s="132"/>
      <c r="AB18" s="132">
        <f>5000*AB1</f>
        <v>150000</v>
      </c>
      <c r="AC18" s="132">
        <f>5000*AC1</f>
        <v>155000</v>
      </c>
      <c r="AD18" s="132">
        <f>5000*AD1</f>
        <v>155000</v>
      </c>
      <c r="AE18" s="132">
        <f>5000*AE1</f>
        <v>145000</v>
      </c>
      <c r="AF18" s="132">
        <f>5000*AF1</f>
        <v>155000</v>
      </c>
      <c r="AG18" s="132"/>
      <c r="AH18" s="132"/>
      <c r="AI18" s="132"/>
      <c r="AJ18" s="59">
        <f t="shared" si="1"/>
        <v>760000</v>
      </c>
      <c r="AN18" s="22" t="s">
        <v>429</v>
      </c>
      <c r="AO18" s="132"/>
      <c r="AP18" s="132"/>
      <c r="AQ18" s="132"/>
      <c r="AR18" s="132"/>
      <c r="AS18" s="132">
        <f>5000*AS1</f>
        <v>150000</v>
      </c>
      <c r="AT18" s="132">
        <f>5000*AT1</f>
        <v>155000</v>
      </c>
      <c r="AU18" s="132">
        <f>5000*AU1</f>
        <v>155000</v>
      </c>
      <c r="AV18" s="132">
        <f>5000*AV1</f>
        <v>140000</v>
      </c>
      <c r="AW18" s="132">
        <f>5000*AW1</f>
        <v>155000</v>
      </c>
      <c r="AX18" s="132"/>
      <c r="AY18" s="132"/>
      <c r="AZ18" s="132"/>
      <c r="BA18" s="59">
        <f t="shared" si="2"/>
        <v>755000</v>
      </c>
    </row>
    <row r="19" spans="1:54" s="22" customFormat="1">
      <c r="E19" s="370"/>
      <c r="F19" s="22" t="s">
        <v>767</v>
      </c>
      <c r="G19" s="132">
        <f>5000*G1</f>
        <v>155000</v>
      </c>
      <c r="H19" s="132">
        <f>5000*H1</f>
        <v>155000</v>
      </c>
      <c r="I19" s="132">
        <f>5000*I1</f>
        <v>150000</v>
      </c>
      <c r="J19" s="132">
        <f>5000*J1</f>
        <v>155000</v>
      </c>
      <c r="K19" s="132"/>
      <c r="L19" s="132"/>
      <c r="M19" s="132"/>
      <c r="N19" s="132"/>
      <c r="O19" s="132"/>
      <c r="P19" s="132">
        <f>5000*P1</f>
        <v>150000</v>
      </c>
      <c r="Q19" s="132">
        <f>5000*Q1</f>
        <v>155000</v>
      </c>
      <c r="R19" s="132">
        <f>5000*R1</f>
        <v>150000</v>
      </c>
      <c r="S19" s="131">
        <f t="shared" si="0"/>
        <v>1070000</v>
      </c>
      <c r="W19" s="22" t="s">
        <v>767</v>
      </c>
      <c r="X19" s="132">
        <f>5000*X1</f>
        <v>155000</v>
      </c>
      <c r="Y19" s="132">
        <f>5000*Y1</f>
        <v>155000</v>
      </c>
      <c r="Z19" s="132">
        <f>5000*Z1</f>
        <v>150000</v>
      </c>
      <c r="AA19" s="132">
        <f>5000*AA1</f>
        <v>155000</v>
      </c>
      <c r="AB19" s="132"/>
      <c r="AC19" s="132"/>
      <c r="AD19" s="132"/>
      <c r="AE19" s="132"/>
      <c r="AF19" s="132"/>
      <c r="AG19" s="132">
        <f>5000*AG1</f>
        <v>150000</v>
      </c>
      <c r="AH19" s="132">
        <f>5000*AH1</f>
        <v>155000</v>
      </c>
      <c r="AI19" s="132">
        <f>5000*AI1</f>
        <v>150000</v>
      </c>
      <c r="AJ19" s="59">
        <f t="shared" si="1"/>
        <v>1070000</v>
      </c>
      <c r="AN19" s="22" t="s">
        <v>430</v>
      </c>
      <c r="AO19" s="132">
        <f>5000*AO1</f>
        <v>155000</v>
      </c>
      <c r="AP19" s="132">
        <f>5000*AP1</f>
        <v>155000</v>
      </c>
      <c r="AQ19" s="132">
        <f>5000*AQ1</f>
        <v>150000</v>
      </c>
      <c r="AR19" s="132">
        <f>5000*AR1</f>
        <v>155000</v>
      </c>
      <c r="AS19" s="132"/>
      <c r="AT19" s="132"/>
      <c r="AU19" s="132"/>
      <c r="AV19" s="132"/>
      <c r="AW19" s="132"/>
      <c r="AX19" s="132">
        <f>5000*AX1</f>
        <v>150000</v>
      </c>
      <c r="AY19" s="132">
        <f>5000*AY1</f>
        <v>155000</v>
      </c>
      <c r="AZ19" s="132">
        <f>5000*AZ1</f>
        <v>150000</v>
      </c>
      <c r="BA19" s="59">
        <f t="shared" si="2"/>
        <v>1070000</v>
      </c>
    </row>
    <row r="20" spans="1:54">
      <c r="F20" s="22" t="s">
        <v>768</v>
      </c>
      <c r="G20" s="221"/>
      <c r="H20" s="221"/>
      <c r="I20" s="221"/>
      <c r="J20" s="221"/>
      <c r="K20" s="132"/>
      <c r="L20" s="132"/>
      <c r="M20" s="132"/>
      <c r="N20" s="132"/>
      <c r="O20" s="132"/>
      <c r="P20" s="221"/>
      <c r="Q20" s="221"/>
      <c r="R20" s="221"/>
      <c r="S20" s="131">
        <f t="shared" si="0"/>
        <v>0</v>
      </c>
      <c r="W20" s="22" t="s">
        <v>768</v>
      </c>
      <c r="X20" s="221"/>
      <c r="Y20" s="221"/>
      <c r="Z20" s="221"/>
      <c r="AA20" s="221"/>
      <c r="AB20" s="132"/>
      <c r="AC20" s="132"/>
      <c r="AD20" s="132"/>
      <c r="AE20" s="132"/>
      <c r="AF20" s="132"/>
      <c r="AG20" s="221"/>
      <c r="AH20" s="221"/>
      <c r="AI20" s="221"/>
      <c r="AJ20" s="59">
        <f t="shared" si="1"/>
        <v>0</v>
      </c>
      <c r="AN20" s="22" t="s">
        <v>431</v>
      </c>
      <c r="AO20" s="221"/>
      <c r="AP20" s="221"/>
      <c r="AQ20" s="221"/>
      <c r="AR20" s="221"/>
      <c r="AS20" s="132">
        <v>220000</v>
      </c>
      <c r="AT20" s="132">
        <v>65000</v>
      </c>
      <c r="AU20" s="132">
        <v>125000</v>
      </c>
      <c r="AV20" s="132">
        <v>95000</v>
      </c>
      <c r="AW20" s="132">
        <v>170000</v>
      </c>
      <c r="AX20" s="221"/>
      <c r="AY20" s="221"/>
      <c r="AZ20" s="221"/>
      <c r="BA20" s="59">
        <f t="shared" si="2"/>
        <v>675000</v>
      </c>
    </row>
    <row r="21" spans="1:54" s="22" customFormat="1">
      <c r="E21" s="370"/>
      <c r="F21" s="59" t="s">
        <v>432</v>
      </c>
      <c r="G21" s="28">
        <f>SUM(G17:G20)</f>
        <v>155000</v>
      </c>
      <c r="H21" s="28">
        <f>SUM(H17:H20)</f>
        <v>155000</v>
      </c>
      <c r="I21" s="28">
        <f>SUM(I17:I20)</f>
        <v>150000</v>
      </c>
      <c r="J21" s="28">
        <f>SUM(J17:J20)</f>
        <v>155000</v>
      </c>
      <c r="K21" s="28">
        <f t="shared" ref="K21:R21" si="12">SUM(K17:K20)</f>
        <v>150000</v>
      </c>
      <c r="L21" s="28">
        <f t="shared" si="12"/>
        <v>155000</v>
      </c>
      <c r="M21" s="28">
        <f t="shared" si="12"/>
        <v>155000</v>
      </c>
      <c r="N21" s="28">
        <f t="shared" si="12"/>
        <v>140000</v>
      </c>
      <c r="O21" s="28">
        <f t="shared" si="12"/>
        <v>155000</v>
      </c>
      <c r="P21" s="28">
        <f t="shared" si="12"/>
        <v>150000</v>
      </c>
      <c r="Q21" s="28">
        <f t="shared" si="12"/>
        <v>155000</v>
      </c>
      <c r="R21" s="28">
        <f t="shared" si="12"/>
        <v>150000</v>
      </c>
      <c r="S21" s="131">
        <f t="shared" si="0"/>
        <v>1825000</v>
      </c>
      <c r="W21" s="59" t="s">
        <v>432</v>
      </c>
      <c r="X21" s="28">
        <f>SUM(X17:X20)</f>
        <v>155000</v>
      </c>
      <c r="Y21" s="28">
        <f>SUM(Y17:Y20)</f>
        <v>155000</v>
      </c>
      <c r="Z21" s="28">
        <f>SUM(Z17:Z20)</f>
        <v>150000</v>
      </c>
      <c r="AA21" s="28">
        <f>SUM(AA17:AA20)</f>
        <v>155000</v>
      </c>
      <c r="AB21" s="28">
        <f t="shared" ref="AB21:AI21" si="13">SUM(AB17:AB20)</f>
        <v>150000</v>
      </c>
      <c r="AC21" s="28">
        <f t="shared" si="13"/>
        <v>155000</v>
      </c>
      <c r="AD21" s="28">
        <f t="shared" si="13"/>
        <v>155000</v>
      </c>
      <c r="AE21" s="28">
        <f t="shared" si="13"/>
        <v>145000</v>
      </c>
      <c r="AF21" s="28">
        <f t="shared" si="13"/>
        <v>155000</v>
      </c>
      <c r="AG21" s="28">
        <f t="shared" si="13"/>
        <v>150000</v>
      </c>
      <c r="AH21" s="28">
        <f t="shared" si="13"/>
        <v>155000</v>
      </c>
      <c r="AI21" s="28">
        <f t="shared" si="13"/>
        <v>150000</v>
      </c>
      <c r="AJ21" s="59">
        <f t="shared" si="1"/>
        <v>1830000</v>
      </c>
      <c r="AN21" s="59" t="s">
        <v>432</v>
      </c>
      <c r="AO21" s="28">
        <f>SUM(AO17:AO20)</f>
        <v>155000</v>
      </c>
      <c r="AP21" s="28">
        <f t="shared" ref="AP21:AU21" si="14">SUM(AP17:AP20)</f>
        <v>155000</v>
      </c>
      <c r="AQ21" s="28">
        <f t="shared" si="14"/>
        <v>150000</v>
      </c>
      <c r="AR21" s="28">
        <f t="shared" si="14"/>
        <v>155000</v>
      </c>
      <c r="AS21" s="28">
        <f t="shared" si="14"/>
        <v>370000</v>
      </c>
      <c r="AT21" s="28">
        <f t="shared" si="14"/>
        <v>220000</v>
      </c>
      <c r="AU21" s="28">
        <f t="shared" si="14"/>
        <v>280000</v>
      </c>
      <c r="AV21" s="28">
        <f>SUM(AV17:AV20)</f>
        <v>235000</v>
      </c>
      <c r="AW21" s="28">
        <f>SUM(AW17:AW20)</f>
        <v>325000</v>
      </c>
      <c r="AX21" s="28">
        <f>SUM(AX17:AX20)</f>
        <v>150000</v>
      </c>
      <c r="AY21" s="28">
        <f>SUM(AY17:AY20)</f>
        <v>155000</v>
      </c>
      <c r="AZ21" s="28">
        <f>SUM(AZ17:AZ20)</f>
        <v>150000</v>
      </c>
      <c r="BA21" s="59">
        <f t="shared" si="2"/>
        <v>2500000</v>
      </c>
    </row>
    <row r="22" spans="1:54" s="22" customFormat="1">
      <c r="E22" s="370"/>
      <c r="F22" s="59" t="s">
        <v>433</v>
      </c>
      <c r="G22" s="28">
        <f>SUM(G15:G16,G21)</f>
        <v>1228654</v>
      </c>
      <c r="H22" s="28">
        <f t="shared" ref="H22:R22" si="15">SUM(H15:H16,H21)</f>
        <v>1228654</v>
      </c>
      <c r="I22" s="28">
        <f t="shared" si="15"/>
        <v>1078020</v>
      </c>
      <c r="J22" s="28">
        <f t="shared" si="15"/>
        <v>1002354</v>
      </c>
      <c r="K22" s="28">
        <f t="shared" si="15"/>
        <v>1153020</v>
      </c>
      <c r="L22" s="28">
        <f t="shared" si="15"/>
        <v>1346454</v>
      </c>
      <c r="M22" s="28">
        <f t="shared" si="15"/>
        <v>1346454</v>
      </c>
      <c r="N22" s="28">
        <f t="shared" si="15"/>
        <v>1216152</v>
      </c>
      <c r="O22" s="28">
        <f t="shared" si="15"/>
        <v>1191454</v>
      </c>
      <c r="P22" s="28">
        <f t="shared" si="15"/>
        <v>1114020</v>
      </c>
      <c r="Q22" s="28">
        <f t="shared" si="15"/>
        <v>1228654</v>
      </c>
      <c r="R22" s="28">
        <f t="shared" si="15"/>
        <v>1201020</v>
      </c>
      <c r="S22" s="131">
        <f t="shared" si="0"/>
        <v>14334910</v>
      </c>
      <c r="W22" s="59" t="s">
        <v>433</v>
      </c>
      <c r="X22" s="28">
        <f>SUM(X15:X16,X21)</f>
        <v>1228654</v>
      </c>
      <c r="Y22" s="28">
        <f t="shared" ref="Y22:AI22" si="16">SUM(Y15:Y16,Y21)</f>
        <v>1228654</v>
      </c>
      <c r="Z22" s="28">
        <f t="shared" si="16"/>
        <v>1078020</v>
      </c>
      <c r="AA22" s="28">
        <f t="shared" si="16"/>
        <v>1002354</v>
      </c>
      <c r="AB22" s="28">
        <f t="shared" si="16"/>
        <v>1153020</v>
      </c>
      <c r="AC22" s="28">
        <f t="shared" si="16"/>
        <v>1346454</v>
      </c>
      <c r="AD22" s="28">
        <f t="shared" si="16"/>
        <v>1346454</v>
      </c>
      <c r="AE22" s="28">
        <f t="shared" si="16"/>
        <v>1259586</v>
      </c>
      <c r="AF22" s="28">
        <f t="shared" si="16"/>
        <v>1188354</v>
      </c>
      <c r="AG22" s="28">
        <f t="shared" si="16"/>
        <v>1114020</v>
      </c>
      <c r="AH22" s="28">
        <f t="shared" si="16"/>
        <v>1228654</v>
      </c>
      <c r="AI22" s="28">
        <f t="shared" si="16"/>
        <v>1201020</v>
      </c>
      <c r="AJ22" s="59">
        <f t="shared" si="1"/>
        <v>14375244</v>
      </c>
      <c r="AN22" s="59" t="s">
        <v>433</v>
      </c>
      <c r="AO22" s="28">
        <f t="shared" ref="AO22:AZ22" si="17">SUM(AO15:AO16,AO21)</f>
        <v>1228654</v>
      </c>
      <c r="AP22" s="28">
        <f t="shared" si="17"/>
        <v>1228654</v>
      </c>
      <c r="AQ22" s="28">
        <f t="shared" si="17"/>
        <v>1078020</v>
      </c>
      <c r="AR22" s="28">
        <f t="shared" si="17"/>
        <v>1522354</v>
      </c>
      <c r="AS22" s="28">
        <f t="shared" si="17"/>
        <v>1413020</v>
      </c>
      <c r="AT22" s="28">
        <f t="shared" si="17"/>
        <v>946454</v>
      </c>
      <c r="AU22" s="28">
        <f t="shared" si="17"/>
        <v>1131454</v>
      </c>
      <c r="AV22" s="28">
        <f t="shared" si="17"/>
        <v>951152</v>
      </c>
      <c r="AW22" s="28">
        <f t="shared" si="17"/>
        <v>1221454</v>
      </c>
      <c r="AX22" s="28">
        <f t="shared" si="17"/>
        <v>1151263.94</v>
      </c>
      <c r="AY22" s="28">
        <f t="shared" si="17"/>
        <v>1240028.58</v>
      </c>
      <c r="AZ22" s="28">
        <f t="shared" si="17"/>
        <v>1231594.58</v>
      </c>
      <c r="BA22" s="59">
        <f t="shared" si="2"/>
        <v>14344103.1</v>
      </c>
    </row>
    <row r="23" spans="1:54" s="22" customFormat="1">
      <c r="E23" s="370"/>
      <c r="F23" s="59" t="s">
        <v>383</v>
      </c>
      <c r="G23" s="128">
        <f t="shared" ref="G23:L23" si="18">G21/G22</f>
        <v>0.12615431195438259</v>
      </c>
      <c r="H23" s="128">
        <f t="shared" si="18"/>
        <v>0.12615431195438259</v>
      </c>
      <c r="I23" s="128">
        <f t="shared" si="18"/>
        <v>0.13914398619691656</v>
      </c>
      <c r="J23" s="128">
        <f t="shared" si="18"/>
        <v>0.1546359868868683</v>
      </c>
      <c r="K23" s="128">
        <f t="shared" si="18"/>
        <v>0.13009314669303221</v>
      </c>
      <c r="L23" s="128">
        <f t="shared" si="18"/>
        <v>0.11511718929870608</v>
      </c>
      <c r="M23" s="128">
        <f t="shared" ref="M23:R23" si="19">M21/M22</f>
        <v>0.11511718929870608</v>
      </c>
      <c r="N23" s="128">
        <f t="shared" si="19"/>
        <v>0.11511718929870608</v>
      </c>
      <c r="O23" s="128">
        <f t="shared" si="19"/>
        <v>0.13009314669303221</v>
      </c>
      <c r="P23" s="128">
        <f t="shared" si="19"/>
        <v>0.13464749286368288</v>
      </c>
      <c r="Q23" s="128">
        <f t="shared" si="19"/>
        <v>0.12615431195438259</v>
      </c>
      <c r="R23" s="128">
        <f t="shared" si="19"/>
        <v>0.12489384023579957</v>
      </c>
      <c r="S23" s="131"/>
      <c r="W23" s="59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59"/>
      <c r="AN23" s="59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59"/>
    </row>
    <row r="24" spans="1:54" s="22" customFormat="1">
      <c r="E24" s="370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131"/>
      <c r="T24" s="124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59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59"/>
    </row>
    <row r="25" spans="1:54" s="22" customFormat="1">
      <c r="E25" s="370"/>
      <c r="F25" s="22" t="s">
        <v>434</v>
      </c>
      <c r="G25" s="28">
        <f>G15/((1-0.02499)*(1-0.02154))</f>
        <v>802678.56407669594</v>
      </c>
      <c r="H25" s="28">
        <f t="shared" ref="H25:R25" si="20">H15/((1-0.02499)*(1-0.02154))</f>
        <v>802678.56407669594</v>
      </c>
      <c r="I25" s="28">
        <f t="shared" si="20"/>
        <v>660434.51631468139</v>
      </c>
      <c r="J25" s="28">
        <f t="shared" si="20"/>
        <v>565468.88397954265</v>
      </c>
      <c r="K25" s="28">
        <f t="shared" si="20"/>
        <v>739050.18581219134</v>
      </c>
      <c r="L25" s="28">
        <f t="shared" si="20"/>
        <v>926157.57563411829</v>
      </c>
      <c r="M25" s="28">
        <f t="shared" si="20"/>
        <v>926157.57563411829</v>
      </c>
      <c r="N25" s="28">
        <f t="shared" si="20"/>
        <v>836529.42315339716</v>
      </c>
      <c r="O25" s="28">
        <f t="shared" si="20"/>
        <v>763685.19200593105</v>
      </c>
      <c r="P25" s="28">
        <f t="shared" si="20"/>
        <v>698170.03767348616</v>
      </c>
      <c r="Q25" s="28">
        <f t="shared" si="20"/>
        <v>802678.56407669594</v>
      </c>
      <c r="R25" s="28">
        <f t="shared" si="20"/>
        <v>789364.21429059771</v>
      </c>
      <c r="S25" s="131">
        <f t="shared" si="0"/>
        <v>9313053.2967281528</v>
      </c>
      <c r="T25" s="124">
        <f>S25/$S$28</f>
        <v>0.62160669906912713</v>
      </c>
      <c r="W25" s="22" t="s">
        <v>434</v>
      </c>
      <c r="X25" s="28">
        <f t="shared" ref="X25:AI25" si="21">X15/((1-0.02499)*(1-0.02154))</f>
        <v>802678.56407669594</v>
      </c>
      <c r="Y25" s="28">
        <f t="shared" si="21"/>
        <v>802678.56407669594</v>
      </c>
      <c r="Z25" s="28">
        <f t="shared" si="21"/>
        <v>660434.51631468139</v>
      </c>
      <c r="AA25" s="28">
        <f t="shared" si="21"/>
        <v>565468.88397954265</v>
      </c>
      <c r="AB25" s="28">
        <f t="shared" si="21"/>
        <v>739050.18581219134</v>
      </c>
      <c r="AC25" s="28">
        <f t="shared" si="21"/>
        <v>926157.57563411829</v>
      </c>
      <c r="AD25" s="28">
        <f t="shared" si="21"/>
        <v>926157.57563411829</v>
      </c>
      <c r="AE25" s="28">
        <f t="shared" si="21"/>
        <v>866405.4739803042</v>
      </c>
      <c r="AF25" s="28">
        <f t="shared" si="21"/>
        <v>760435.74433336733</v>
      </c>
      <c r="AG25" s="28">
        <f t="shared" si="21"/>
        <v>698170.03767348616</v>
      </c>
      <c r="AH25" s="28">
        <f t="shared" si="21"/>
        <v>802678.56407669594</v>
      </c>
      <c r="AI25" s="28">
        <f t="shared" si="21"/>
        <v>789364.21429059771</v>
      </c>
      <c r="AJ25" s="59">
        <f t="shared" si="1"/>
        <v>9339679.8998824954</v>
      </c>
      <c r="AK25" s="124">
        <f>AJ25/$AJ$28</f>
        <v>0.62163468969719338</v>
      </c>
      <c r="AN25" s="22" t="s">
        <v>434</v>
      </c>
      <c r="AO25" s="28">
        <f t="shared" ref="AO25:AZ25" si="22">AO15/((1-0.02499)*(1-0.02154))</f>
        <v>802678.56407669594</v>
      </c>
      <c r="AP25" s="28">
        <f t="shared" si="22"/>
        <v>802678.56407669594</v>
      </c>
      <c r="AQ25" s="28">
        <f t="shared" si="22"/>
        <v>660434.51631468139</v>
      </c>
      <c r="AR25" s="28">
        <f t="shared" si="22"/>
        <v>1110537.525828945</v>
      </c>
      <c r="AS25" s="28">
        <f t="shared" si="22"/>
        <v>780978.54287752998</v>
      </c>
      <c r="AT25" s="28">
        <f t="shared" si="22"/>
        <v>438740.4247495567</v>
      </c>
      <c r="AU25" s="28">
        <f t="shared" si="22"/>
        <v>569766.54057873995</v>
      </c>
      <c r="AV25" s="28">
        <f t="shared" si="22"/>
        <v>459174.20956534945</v>
      </c>
      <c r="AW25" s="28">
        <f t="shared" si="22"/>
        <v>616935.94227724592</v>
      </c>
      <c r="AX25" s="28">
        <f t="shared" si="22"/>
        <v>737209.46804448729</v>
      </c>
      <c r="AY25" s="28">
        <f t="shared" si="22"/>
        <v>814601.50036940258</v>
      </c>
      <c r="AZ25" s="28">
        <f t="shared" si="22"/>
        <v>821412.76197466685</v>
      </c>
      <c r="BA25" s="59">
        <f t="shared" si="2"/>
        <v>8615148.5607339982</v>
      </c>
      <c r="BB25" s="124">
        <f>BA25/$BA$28</f>
        <v>0.57508861185094728</v>
      </c>
    </row>
    <row r="26" spans="1:54" s="22" customFormat="1">
      <c r="E26" s="370"/>
      <c r="F26" s="22" t="s">
        <v>435</v>
      </c>
      <c r="G26" s="28">
        <f>G16/((1-0.01)*(1-0.033))</f>
        <v>321615.32595865586</v>
      </c>
      <c r="H26" s="28">
        <f t="shared" ref="H26:R26" si="23">H16/((1-0.01)*(1-0.033))</f>
        <v>321615.32595865586</v>
      </c>
      <c r="I26" s="28">
        <f t="shared" si="23"/>
        <v>311240.63802450564</v>
      </c>
      <c r="J26" s="28">
        <f t="shared" si="23"/>
        <v>321615.32595865586</v>
      </c>
      <c r="K26" s="28">
        <f t="shared" si="23"/>
        <v>311240.63802450564</v>
      </c>
      <c r="L26" s="28">
        <f t="shared" si="23"/>
        <v>321615.32595865586</v>
      </c>
      <c r="M26" s="28">
        <f t="shared" si="23"/>
        <v>321615.32595865586</v>
      </c>
      <c r="N26" s="28">
        <f t="shared" si="23"/>
        <v>290491.26215620525</v>
      </c>
      <c r="O26" s="28">
        <f t="shared" si="23"/>
        <v>321615.32595865586</v>
      </c>
      <c r="P26" s="28">
        <f t="shared" si="23"/>
        <v>311240.63802450564</v>
      </c>
      <c r="Q26" s="28">
        <f t="shared" si="23"/>
        <v>321615.32595865586</v>
      </c>
      <c r="R26" s="28">
        <f t="shared" si="23"/>
        <v>311240.63802450564</v>
      </c>
      <c r="S26" s="131">
        <f t="shared" si="0"/>
        <v>3786761.0959648187</v>
      </c>
      <c r="T26" s="124">
        <f>S26/$S$28</f>
        <v>0.25275019803151361</v>
      </c>
      <c r="W26" s="22" t="s">
        <v>435</v>
      </c>
      <c r="X26" s="28">
        <f>X16/((1-0.01)*(1-0.033))</f>
        <v>321615.32595865586</v>
      </c>
      <c r="Y26" s="28">
        <f t="shared" ref="Y26:AI26" si="24">Y16/((1-0.01)*(1-0.033))</f>
        <v>321615.32595865586</v>
      </c>
      <c r="Z26" s="28">
        <f t="shared" si="24"/>
        <v>311240.63802450564</v>
      </c>
      <c r="AA26" s="28">
        <f t="shared" si="24"/>
        <v>321615.32595865586</v>
      </c>
      <c r="AB26" s="28">
        <f t="shared" si="24"/>
        <v>311240.63802450564</v>
      </c>
      <c r="AC26" s="28">
        <f t="shared" si="24"/>
        <v>321615.32595865586</v>
      </c>
      <c r="AD26" s="28">
        <f t="shared" si="24"/>
        <v>321615.32595865586</v>
      </c>
      <c r="AE26" s="28">
        <f t="shared" si="24"/>
        <v>300865.95009035547</v>
      </c>
      <c r="AF26" s="28">
        <f t="shared" si="24"/>
        <v>321615.32595865586</v>
      </c>
      <c r="AG26" s="28">
        <f t="shared" si="24"/>
        <v>311240.63802450564</v>
      </c>
      <c r="AH26" s="28">
        <f t="shared" si="24"/>
        <v>321615.32595865586</v>
      </c>
      <c r="AI26" s="28">
        <f t="shared" si="24"/>
        <v>311240.63802450564</v>
      </c>
      <c r="AJ26" s="59">
        <f t="shared" si="1"/>
        <v>3797135.7838989692</v>
      </c>
      <c r="AK26" s="124">
        <f>AJ26/$AJ$28</f>
        <v>0.25273150151450502</v>
      </c>
      <c r="AN26" s="22" t="s">
        <v>435</v>
      </c>
      <c r="AO26" s="28">
        <f>AO16/((1-0.01)*(1-0.033))</f>
        <v>321615.32595865586</v>
      </c>
      <c r="AP26" s="28">
        <f t="shared" ref="AP26:AZ26" si="25">AP16/((1-0.01)*(1-0.033))</f>
        <v>321615.32595865586</v>
      </c>
      <c r="AQ26" s="28">
        <f t="shared" si="25"/>
        <v>311240.63802450564</v>
      </c>
      <c r="AR26" s="28">
        <f t="shared" si="25"/>
        <v>321615.32595865586</v>
      </c>
      <c r="AS26" s="28">
        <f t="shared" si="25"/>
        <v>311240.63802450564</v>
      </c>
      <c r="AT26" s="28">
        <f t="shared" si="25"/>
        <v>321615.32595865586</v>
      </c>
      <c r="AU26" s="28">
        <f t="shared" si="25"/>
        <v>321615.32595865586</v>
      </c>
      <c r="AV26" s="28">
        <f t="shared" si="25"/>
        <v>290491.26215620525</v>
      </c>
      <c r="AW26" s="28">
        <f t="shared" si="25"/>
        <v>321615.32595865586</v>
      </c>
      <c r="AX26" s="28">
        <f t="shared" si="25"/>
        <v>311240.63802450564</v>
      </c>
      <c r="AY26" s="28">
        <f t="shared" si="25"/>
        <v>321615.32595865586</v>
      </c>
      <c r="AZ26" s="28">
        <f t="shared" si="25"/>
        <v>311240.63802450564</v>
      </c>
      <c r="BA26" s="59">
        <f t="shared" si="2"/>
        <v>3786761.0959648187</v>
      </c>
      <c r="BB26" s="124">
        <f>BA26/$BA$28</f>
        <v>0.2527783667034107</v>
      </c>
    </row>
    <row r="27" spans="1:54" s="22" customFormat="1">
      <c r="E27" s="370"/>
      <c r="F27" s="22" t="s">
        <v>436</v>
      </c>
      <c r="G27" s="28">
        <f>G21/(1-0.0305)</f>
        <v>159876.2248581743</v>
      </c>
      <c r="H27" s="28">
        <f t="shared" ref="H27:R27" si="26">H21/(1-0.0305)</f>
        <v>159876.2248581743</v>
      </c>
      <c r="I27" s="28">
        <f t="shared" si="26"/>
        <v>154718.92728210418</v>
      </c>
      <c r="J27" s="28">
        <f t="shared" si="26"/>
        <v>159876.2248581743</v>
      </c>
      <c r="K27" s="28">
        <f t="shared" si="26"/>
        <v>154718.92728210418</v>
      </c>
      <c r="L27" s="28">
        <f t="shared" si="26"/>
        <v>159876.2248581743</v>
      </c>
      <c r="M27" s="28">
        <f t="shared" si="26"/>
        <v>159876.2248581743</v>
      </c>
      <c r="N27" s="28">
        <f t="shared" si="26"/>
        <v>144404.33212996391</v>
      </c>
      <c r="O27" s="28">
        <f t="shared" si="26"/>
        <v>159876.2248581743</v>
      </c>
      <c r="P27" s="28">
        <f t="shared" si="26"/>
        <v>154718.92728210418</v>
      </c>
      <c r="Q27" s="28">
        <f t="shared" si="26"/>
        <v>159876.2248581743</v>
      </c>
      <c r="R27" s="28">
        <f t="shared" si="26"/>
        <v>154718.92728210418</v>
      </c>
      <c r="S27" s="131">
        <f t="shared" si="0"/>
        <v>1882413.6152656011</v>
      </c>
      <c r="T27" s="124">
        <f>S27/$S$28</f>
        <v>0.12564310289935926</v>
      </c>
      <c r="W27" s="22" t="s">
        <v>436</v>
      </c>
      <c r="X27" s="28">
        <f>X21/(1-0.0305)</f>
        <v>159876.2248581743</v>
      </c>
      <c r="Y27" s="28">
        <f t="shared" ref="Y27:AI27" si="27">Y21/(1-0.0305)</f>
        <v>159876.2248581743</v>
      </c>
      <c r="Z27" s="28">
        <f t="shared" si="27"/>
        <v>154718.92728210418</v>
      </c>
      <c r="AA27" s="28">
        <f t="shared" si="27"/>
        <v>159876.2248581743</v>
      </c>
      <c r="AB27" s="28">
        <f t="shared" si="27"/>
        <v>154718.92728210418</v>
      </c>
      <c r="AC27" s="28">
        <f t="shared" si="27"/>
        <v>159876.2248581743</v>
      </c>
      <c r="AD27" s="28">
        <f t="shared" si="27"/>
        <v>159876.2248581743</v>
      </c>
      <c r="AE27" s="28">
        <f t="shared" si="27"/>
        <v>149561.62970603403</v>
      </c>
      <c r="AF27" s="28">
        <f t="shared" si="27"/>
        <v>159876.2248581743</v>
      </c>
      <c r="AG27" s="28">
        <f t="shared" si="27"/>
        <v>154718.92728210418</v>
      </c>
      <c r="AH27" s="28">
        <f t="shared" si="27"/>
        <v>159876.2248581743</v>
      </c>
      <c r="AI27" s="28">
        <f t="shared" si="27"/>
        <v>154718.92728210418</v>
      </c>
      <c r="AJ27" s="59">
        <f t="shared" si="1"/>
        <v>1887570.9128416711</v>
      </c>
      <c r="AK27" s="124">
        <f>AJ27/$AJ$28</f>
        <v>0.12563380878830149</v>
      </c>
      <c r="AN27" s="22" t="s">
        <v>436</v>
      </c>
      <c r="AO27" s="28">
        <f t="shared" ref="AO27:AZ27" si="28">AO21/(1-0.0305)</f>
        <v>159876.2248581743</v>
      </c>
      <c r="AP27" s="28">
        <f t="shared" si="28"/>
        <v>159876.2248581743</v>
      </c>
      <c r="AQ27" s="28">
        <f t="shared" si="28"/>
        <v>154718.92728210418</v>
      </c>
      <c r="AR27" s="28">
        <f t="shared" si="28"/>
        <v>159876.2248581743</v>
      </c>
      <c r="AS27" s="28">
        <f t="shared" si="28"/>
        <v>381640.02062919032</v>
      </c>
      <c r="AT27" s="28">
        <f t="shared" si="28"/>
        <v>226921.09334708613</v>
      </c>
      <c r="AU27" s="28">
        <f t="shared" si="28"/>
        <v>288808.66425992781</v>
      </c>
      <c r="AV27" s="28">
        <f t="shared" si="28"/>
        <v>242392.98607529653</v>
      </c>
      <c r="AW27" s="28">
        <f t="shared" si="28"/>
        <v>335224.34244455904</v>
      </c>
      <c r="AX27" s="28">
        <f t="shared" si="28"/>
        <v>154718.92728210418</v>
      </c>
      <c r="AY27" s="28">
        <f t="shared" si="28"/>
        <v>159876.2248581743</v>
      </c>
      <c r="AZ27" s="28">
        <f t="shared" si="28"/>
        <v>154718.92728210418</v>
      </c>
      <c r="BA27" s="59">
        <f t="shared" si="2"/>
        <v>2578648.7880350696</v>
      </c>
      <c r="BB27" s="124">
        <f>BA27/$BA$28</f>
        <v>0.17213302144564185</v>
      </c>
    </row>
    <row r="28" spans="1:54" s="59" customFormat="1">
      <c r="E28" s="371"/>
      <c r="F28" s="59" t="s">
        <v>396</v>
      </c>
      <c r="G28" s="131">
        <f>SUM(G25:G27)</f>
        <v>1284170.1148935261</v>
      </c>
      <c r="H28" s="131">
        <f t="shared" ref="H28:R28" si="29">SUM(H25:H27)</f>
        <v>1284170.1148935261</v>
      </c>
      <c r="I28" s="131">
        <f t="shared" si="29"/>
        <v>1126394.0816212913</v>
      </c>
      <c r="J28" s="131">
        <f t="shared" si="29"/>
        <v>1046960.4347963729</v>
      </c>
      <c r="K28" s="131">
        <f t="shared" si="29"/>
        <v>1205009.7511188013</v>
      </c>
      <c r="L28" s="131">
        <f t="shared" si="29"/>
        <v>1407649.1264509484</v>
      </c>
      <c r="M28" s="131">
        <f t="shared" si="29"/>
        <v>1407649.1264509484</v>
      </c>
      <c r="N28" s="131">
        <f t="shared" si="29"/>
        <v>1271425.0174395663</v>
      </c>
      <c r="O28" s="131">
        <f t="shared" si="29"/>
        <v>1245176.7428227612</v>
      </c>
      <c r="P28" s="131">
        <f t="shared" si="29"/>
        <v>1164129.6029800961</v>
      </c>
      <c r="Q28" s="131">
        <f t="shared" si="29"/>
        <v>1284170.1148935261</v>
      </c>
      <c r="R28" s="131">
        <f t="shared" si="29"/>
        <v>1255323.7795972077</v>
      </c>
      <c r="S28" s="143">
        <f t="shared" si="0"/>
        <v>14982228.007958572</v>
      </c>
      <c r="T28" s="168">
        <f>SUM(T25:T27)</f>
        <v>1</v>
      </c>
      <c r="W28" s="59" t="s">
        <v>396</v>
      </c>
      <c r="X28" s="131">
        <f>SUM(X25:X27)</f>
        <v>1284170.1148935261</v>
      </c>
      <c r="Y28" s="131">
        <f t="shared" ref="Y28:AI28" si="30">SUM(Y25:Y27)</f>
        <v>1284170.1148935261</v>
      </c>
      <c r="Z28" s="131">
        <f t="shared" si="30"/>
        <v>1126394.0816212913</v>
      </c>
      <c r="AA28" s="131">
        <f t="shared" si="30"/>
        <v>1046960.4347963729</v>
      </c>
      <c r="AB28" s="131">
        <f t="shared" si="30"/>
        <v>1205009.7511188013</v>
      </c>
      <c r="AC28" s="131">
        <f t="shared" si="30"/>
        <v>1407649.1264509484</v>
      </c>
      <c r="AD28" s="131">
        <f t="shared" si="30"/>
        <v>1407649.1264509484</v>
      </c>
      <c r="AE28" s="131">
        <f t="shared" si="30"/>
        <v>1316833.0537766935</v>
      </c>
      <c r="AF28" s="131">
        <f t="shared" si="30"/>
        <v>1241927.2951501976</v>
      </c>
      <c r="AG28" s="131">
        <f t="shared" si="30"/>
        <v>1164129.6029800961</v>
      </c>
      <c r="AH28" s="131">
        <f t="shared" si="30"/>
        <v>1284170.1148935261</v>
      </c>
      <c r="AI28" s="131">
        <f t="shared" si="30"/>
        <v>1255323.7795972077</v>
      </c>
      <c r="AJ28" s="143">
        <f t="shared" si="1"/>
        <v>15024386.596623138</v>
      </c>
      <c r="AK28" s="168">
        <f>SUM(AK25:AK27)</f>
        <v>1</v>
      </c>
      <c r="AN28" s="59" t="s">
        <v>396</v>
      </c>
      <c r="AO28" s="131">
        <f>SUM(AO25:AO27)</f>
        <v>1284170.1148935261</v>
      </c>
      <c r="AP28" s="131">
        <f t="shared" ref="AP28:AZ28" si="31">SUM(AP25:AP27)</f>
        <v>1284170.1148935261</v>
      </c>
      <c r="AQ28" s="131">
        <f t="shared" si="31"/>
        <v>1126394.0816212913</v>
      </c>
      <c r="AR28" s="131">
        <f t="shared" si="31"/>
        <v>1592029.0766457752</v>
      </c>
      <c r="AS28" s="131">
        <f t="shared" si="31"/>
        <v>1473859.201531226</v>
      </c>
      <c r="AT28" s="131">
        <f t="shared" si="31"/>
        <v>987276.84405529872</v>
      </c>
      <c r="AU28" s="131">
        <f t="shared" si="31"/>
        <v>1180190.5307973237</v>
      </c>
      <c r="AV28" s="131">
        <f t="shared" si="31"/>
        <v>992058.45779685117</v>
      </c>
      <c r="AW28" s="131">
        <f t="shared" si="31"/>
        <v>1273775.6106804609</v>
      </c>
      <c r="AX28" s="131">
        <f t="shared" si="31"/>
        <v>1203169.0333510973</v>
      </c>
      <c r="AY28" s="131">
        <f t="shared" si="31"/>
        <v>1296093.0511862328</v>
      </c>
      <c r="AZ28" s="131">
        <f t="shared" si="31"/>
        <v>1287372.3272812767</v>
      </c>
      <c r="BA28" s="59">
        <f t="shared" si="2"/>
        <v>14980558.444733888</v>
      </c>
    </row>
    <row r="29" spans="1:54" s="22" customFormat="1">
      <c r="E29" s="370"/>
      <c r="F29" s="59" t="s">
        <v>440</v>
      </c>
      <c r="G29" s="131">
        <f>G28-G39</f>
        <v>-186976.25144807016</v>
      </c>
      <c r="H29" s="131">
        <f t="shared" ref="H29:R29" si="32">H28-H39</f>
        <v>-137313.28653578949</v>
      </c>
      <c r="I29" s="131">
        <f t="shared" si="32"/>
        <v>157702.73545241181</v>
      </c>
      <c r="J29" s="131">
        <f t="shared" si="32"/>
        <v>-366457.54405362066</v>
      </c>
      <c r="K29" s="232">
        <f t="shared" si="32"/>
        <v>-337603.10580637795</v>
      </c>
      <c r="L29" s="232">
        <f t="shared" si="32"/>
        <v>-153043.20783669315</v>
      </c>
      <c r="M29" s="232">
        <f t="shared" si="32"/>
        <v>-527867.60659866873</v>
      </c>
      <c r="N29" s="232">
        <f t="shared" si="32"/>
        <v>-483520.21023173048</v>
      </c>
      <c r="O29" s="232">
        <f t="shared" si="32"/>
        <v>112944.20509303757</v>
      </c>
      <c r="P29" s="131">
        <f t="shared" si="32"/>
        <v>-397828.23646333744</v>
      </c>
      <c r="Q29" s="131">
        <f t="shared" si="32"/>
        <v>-80444.306655734079</v>
      </c>
      <c r="R29" s="131">
        <f t="shared" si="32"/>
        <v>195099.09570126561</v>
      </c>
      <c r="S29" s="131">
        <f t="shared" si="0"/>
        <v>-2205307.7193833073</v>
      </c>
      <c r="W29" s="59" t="s">
        <v>440</v>
      </c>
      <c r="X29" s="28">
        <f>X28-X39</f>
        <v>242629.2090388916</v>
      </c>
      <c r="Y29" s="28">
        <f t="shared" ref="Y29:AI29" si="33">Y28-Y39</f>
        <v>226499.1806178391</v>
      </c>
      <c r="Z29" s="28">
        <f t="shared" si="33"/>
        <v>179972.79797995533</v>
      </c>
      <c r="AA29" s="28">
        <f t="shared" si="33"/>
        <v>-400010.68616680708</v>
      </c>
      <c r="AB29" s="215">
        <f t="shared" si="33"/>
        <v>-552043.18374950415</v>
      </c>
      <c r="AC29" s="215">
        <f t="shared" si="33"/>
        <v>-191742.78567643045</v>
      </c>
      <c r="AD29" s="215">
        <f t="shared" si="33"/>
        <v>-366603.88691607048</v>
      </c>
      <c r="AE29" s="215">
        <f t="shared" si="33"/>
        <v>-170942.77526422543</v>
      </c>
      <c r="AF29" s="215">
        <f t="shared" si="33"/>
        <v>-312057.72250067745</v>
      </c>
      <c r="AG29" s="28">
        <f t="shared" si="33"/>
        <v>-469802.59447874222</v>
      </c>
      <c r="AH29" s="28">
        <f t="shared" si="33"/>
        <v>-4693.9747579868417</v>
      </c>
      <c r="AI29" s="28">
        <f t="shared" si="33"/>
        <v>205627.5437899495</v>
      </c>
      <c r="AJ29" s="59">
        <f t="shared" si="1"/>
        <v>-1613168.8780838086</v>
      </c>
      <c r="AN29" s="59" t="s">
        <v>440</v>
      </c>
      <c r="AO29" s="28">
        <f>AO28-AO39</f>
        <v>228830.72837153124</v>
      </c>
      <c r="AP29" s="28">
        <f t="shared" ref="AP29:AZ29" si="34">AP28-AP39</f>
        <v>212700.69995047851</v>
      </c>
      <c r="AQ29" s="28">
        <f t="shared" si="34"/>
        <v>165890.89014607179</v>
      </c>
      <c r="AR29" s="28">
        <f t="shared" si="34"/>
        <v>125889.16186070861</v>
      </c>
      <c r="AS29" s="28">
        <f t="shared" si="34"/>
        <v>-305257.78366335505</v>
      </c>
      <c r="AT29" s="28">
        <f t="shared" si="34"/>
        <v>-638383.01241635019</v>
      </c>
      <c r="AU29" s="28">
        <f t="shared" si="34"/>
        <v>-622708.86599591444</v>
      </c>
      <c r="AV29" s="28">
        <f t="shared" si="34"/>
        <v>-516415.63815019233</v>
      </c>
      <c r="AW29" s="28">
        <f t="shared" si="34"/>
        <v>-300131.01782869943</v>
      </c>
      <c r="AX29" s="28">
        <f t="shared" si="34"/>
        <v>-445430.59099865495</v>
      </c>
      <c r="AY29" s="28">
        <f t="shared" si="34"/>
        <v>-1876.0008468425367</v>
      </c>
      <c r="AZ29" s="28">
        <f t="shared" si="34"/>
        <v>230083.67385025718</v>
      </c>
      <c r="BA29" s="59">
        <f t="shared" si="2"/>
        <v>-1866807.7557209616</v>
      </c>
    </row>
    <row r="30" spans="1:54" s="22" customFormat="1">
      <c r="E30" s="370"/>
      <c r="F30" s="59" t="s">
        <v>762</v>
      </c>
      <c r="G30" s="124">
        <f>G29/G28</f>
        <v>-0.14560084312783814</v>
      </c>
      <c r="H30" s="124">
        <f>H29/H28</f>
        <v>-0.10692764528878208</v>
      </c>
      <c r="I30" s="124">
        <f>I29/I28</f>
        <v>0.14000671525672448</v>
      </c>
      <c r="J30" s="124">
        <f t="shared" ref="J30:R30" si="35">J29/J28</f>
        <v>-0.35002043236227387</v>
      </c>
      <c r="K30" s="124">
        <f t="shared" si="35"/>
        <v>-0.28016628537065991</v>
      </c>
      <c r="L30" s="124">
        <f t="shared" si="35"/>
        <v>-0.10872255376775256</v>
      </c>
      <c r="M30" s="124">
        <f t="shared" si="35"/>
        <v>-0.37499942043764911</v>
      </c>
      <c r="N30" s="124">
        <f t="shared" si="35"/>
        <v>-0.38029785760033097</v>
      </c>
      <c r="O30" s="124">
        <f t="shared" si="35"/>
        <v>9.0705360298489038E-2</v>
      </c>
      <c r="P30" s="124">
        <f t="shared" si="35"/>
        <v>-0.34173878530785834</v>
      </c>
      <c r="Q30" s="124">
        <f t="shared" si="35"/>
        <v>-6.2643029706702005E-2</v>
      </c>
      <c r="R30" s="124">
        <f t="shared" si="35"/>
        <v>0.15541735038578378</v>
      </c>
      <c r="S30" s="140">
        <f>S29/S28</f>
        <v>-0.14719491107810173</v>
      </c>
    </row>
    <row r="31" spans="1:54" s="22" customFormat="1">
      <c r="E31" s="370"/>
      <c r="G31" s="124"/>
      <c r="S31" s="131"/>
    </row>
    <row r="32" spans="1:54" s="105" customFormat="1">
      <c r="A32" s="108"/>
      <c r="B32" s="108"/>
      <c r="C32" s="108"/>
      <c r="D32" s="108"/>
      <c r="E32" s="370"/>
      <c r="F32" s="108" t="s">
        <v>91</v>
      </c>
      <c r="G32" s="107">
        <f>+FSS!C8</f>
        <v>781985</v>
      </c>
      <c r="H32" s="107">
        <f>+FSS!D8</f>
        <v>755008</v>
      </c>
      <c r="I32" s="107">
        <f>+FSS!E8</f>
        <v>257269</v>
      </c>
      <c r="J32" s="107">
        <f>+FSS!F8</f>
        <v>80606</v>
      </c>
      <c r="K32" s="107">
        <f>+FSS!G13</f>
        <v>-186436</v>
      </c>
      <c r="L32" s="107">
        <f>+FSS!H13</f>
        <v>-564835</v>
      </c>
      <c r="M32" s="107">
        <f>+FSS!I13</f>
        <v>-470134</v>
      </c>
      <c r="N32" s="107">
        <f>+FSS!J13</f>
        <v>-348286</v>
      </c>
      <c r="O32" s="107">
        <f>+FSS!K13</f>
        <v>-553568</v>
      </c>
      <c r="P32" s="107">
        <f>+FSS!L8</f>
        <v>251904</v>
      </c>
      <c r="Q32" s="107">
        <f>+FSS!M8</f>
        <v>448973</v>
      </c>
      <c r="R32" s="107">
        <f>+FSS!N8</f>
        <v>356570</v>
      </c>
      <c r="S32" s="107"/>
      <c r="W32" s="108" t="s">
        <v>91</v>
      </c>
      <c r="X32" s="107">
        <f>+FSS!O8</f>
        <v>330991.92</v>
      </c>
      <c r="Y32" s="107">
        <f>+FSS!P8</f>
        <v>358574.58</v>
      </c>
      <c r="Z32" s="107">
        <f>+FSS!Q8</f>
        <v>220661.28</v>
      </c>
      <c r="AA32" s="107">
        <f>+FSS!R8</f>
        <v>110330.64</v>
      </c>
      <c r="AB32" s="107">
        <f>+FSS!S13</f>
        <v>0</v>
      </c>
      <c r="AC32" s="107">
        <f>+FSS!T13</f>
        <v>-579235.86</v>
      </c>
      <c r="AD32" s="107">
        <f>+FSS!U13</f>
        <v>-634401.18000000005</v>
      </c>
      <c r="AE32" s="107">
        <f>+FSS!V13</f>
        <v>-524070.54</v>
      </c>
      <c r="AF32" s="107">
        <f>+FSS!W13</f>
        <v>-275826.60000000003</v>
      </c>
      <c r="AG32" s="107">
        <f>+FSS!X8</f>
        <v>248243.94</v>
      </c>
      <c r="AH32" s="107">
        <f>+FSS!Y8</f>
        <v>358574.58</v>
      </c>
      <c r="AI32" s="107">
        <f>+FSS!Z8</f>
        <v>358574.58</v>
      </c>
      <c r="AJ32" s="107"/>
      <c r="AN32" s="108" t="s">
        <v>91</v>
      </c>
      <c r="AO32" s="107">
        <f>+FSS!AA8</f>
        <v>330991.92</v>
      </c>
      <c r="AP32" s="107">
        <f>+FSS!AB8</f>
        <v>358574.58</v>
      </c>
      <c r="AQ32" s="107">
        <f>+FSS!AC8</f>
        <v>220661.28</v>
      </c>
      <c r="AR32" s="107">
        <f>+FSS!AD8</f>
        <v>110330.64</v>
      </c>
      <c r="AS32" s="107">
        <f>+FSS!AE13</f>
        <v>0</v>
      </c>
      <c r="AT32" s="107">
        <f>+FSS!AF13</f>
        <v>-579235.86</v>
      </c>
      <c r="AU32" s="107">
        <f>+FSS!AG13</f>
        <v>-634401.18000000005</v>
      </c>
      <c r="AV32" s="107">
        <f>+FSS!AH13</f>
        <v>-524070.54</v>
      </c>
      <c r="AW32" s="107">
        <f>+FSS!AI13</f>
        <v>-275826.60000000003</v>
      </c>
      <c r="AX32" s="107">
        <f>+FSS!AJ8</f>
        <v>248243.94</v>
      </c>
      <c r="AY32" s="107">
        <f>+FSS!AK8</f>
        <v>358574.58</v>
      </c>
      <c r="AZ32" s="107">
        <f>+FSS!AL8</f>
        <v>358574.58</v>
      </c>
      <c r="BA32" s="107"/>
    </row>
    <row r="33" spans="1:53">
      <c r="F33" s="10" t="s">
        <v>217</v>
      </c>
      <c r="G33" s="28">
        <f>SUM('GSS-09'!C6,'GSS-97'!C6,'GSS-62'!C6)</f>
        <v>135796</v>
      </c>
      <c r="H33" s="28">
        <f>SUM('GSS-09'!D6,'GSS-97'!D6,'GSS-62'!D6)</f>
        <v>120296</v>
      </c>
      <c r="I33" s="28">
        <f>SUM('GSS-09'!E6,'GSS-97'!E6,'GSS-62'!E6)</f>
        <v>131421</v>
      </c>
      <c r="J33" s="28">
        <f>SUM('GSS-09'!F6,'GSS-97'!F6,'GSS-62'!F6)</f>
        <v>167937</v>
      </c>
      <c r="K33" s="107">
        <f>SUM('GSS-09'!G11,'GSS-97'!G11,'GSS-62'!G11)</f>
        <v>-10900</v>
      </c>
      <c r="L33" s="107">
        <f>SUM('GSS-09'!H11,'GSS-97'!H11,'GSS-62'!H11)</f>
        <v>-346216</v>
      </c>
      <c r="M33" s="107">
        <f>SUM('GSS-09'!I11,'GSS-97'!I11,'GSS-62'!I11)</f>
        <v>-371088</v>
      </c>
      <c r="N33" s="107">
        <f>SUM('GSS-09'!J11,'GSS-97'!J11,'GSS-62'!J11)</f>
        <v>-195278</v>
      </c>
      <c r="O33" s="107">
        <f>SUM('GSS-09'!K11,'GSS-97'!K11,'GSS-62'!K11)</f>
        <v>-192521</v>
      </c>
      <c r="P33" s="28">
        <f>SUM('GSS-09'!L6,'GSS-97'!L6,'GSS-62'!L6)</f>
        <v>95566</v>
      </c>
      <c r="Q33" s="28">
        <f>SUM('GSS-09'!M6,'GSS-97'!M6,'GSS-62'!M6)</f>
        <v>162471</v>
      </c>
      <c r="R33" s="28">
        <f>SUM('GSS-09'!N6,'GSS-97'!N6,'GSS-62'!N6)</f>
        <v>176550</v>
      </c>
      <c r="S33" s="107"/>
      <c r="W33" s="10" t="s">
        <v>217</v>
      </c>
      <c r="X33" s="28">
        <f>SUM('GSS-09'!O6,'GSS-97'!O6,'GSS-62'!O6)</f>
        <v>153450</v>
      </c>
      <c r="Y33" s="28">
        <f>SUM('GSS-09'!P6,'GSS-97'!P6,'GSS-62'!P6)</f>
        <v>153450</v>
      </c>
      <c r="Z33" s="28">
        <f>SUM('GSS-09'!Q6,'GSS-97'!Q6,'GSS-62'!Q6)</f>
        <v>148500</v>
      </c>
      <c r="AA33" s="28">
        <f>SUM('GSS-09'!R6,'GSS-97'!R6,'GSS-62'!R6)</f>
        <v>153450</v>
      </c>
      <c r="AB33" s="107">
        <f>SUM('GSS-09'!S11,'GSS-97'!S11,'GSS-62'!S11)</f>
        <v>0</v>
      </c>
      <c r="AC33" s="107">
        <f>SUM('GSS-09'!T10,'GSS-97'!T11,'GSS-62'!T11)</f>
        <v>-317278.62</v>
      </c>
      <c r="AD33" s="107">
        <f>SUM('GSS-09'!U11,'GSS-97'!U11,'GSS-62'!U11)</f>
        <v>-395358.39</v>
      </c>
      <c r="AE33" s="107">
        <f>SUM('GSS-09'!V11,'GSS-97'!V11,'GSS-62'!V11)</f>
        <v>-316825.44</v>
      </c>
      <c r="AF33" s="107">
        <f>SUM('GSS-09'!W11,'GSS-97'!W11,'GSS-62'!W11)</f>
        <v>-75012.72</v>
      </c>
      <c r="AG33" s="28">
        <f>SUM('GSS-09'!X6,'GSS-97'!X6,'GSS-62'!X6)</f>
        <v>154500</v>
      </c>
      <c r="AH33" s="28">
        <f>SUM('GSS-09'!Y6,'GSS-97'!Y6,'GSS-62'!Y6)</f>
        <v>159650</v>
      </c>
      <c r="AI33" s="28">
        <f>SUM('GSS-09'!Z6,'GSS-97'!Z6,'GSS-62'!Z6)</f>
        <v>154500</v>
      </c>
      <c r="AJ33" s="107"/>
      <c r="AN33" s="10" t="s">
        <v>217</v>
      </c>
      <c r="AO33" s="28">
        <f>SUM('GSS-09'!AA6,'GSS-97'!AA6,'GSS-62'!AA6)</f>
        <v>159650</v>
      </c>
      <c r="AP33" s="28">
        <f>SUM('GSS-09'!AB6,'GSS-97'!AB6,'GSS-62'!AB6)</f>
        <v>159650</v>
      </c>
      <c r="AQ33" s="28">
        <f>SUM('GSS-09'!AC6,'GSS-97'!AC6,'GSS-62'!AC6)</f>
        <v>154500</v>
      </c>
      <c r="AR33" s="28">
        <f>SUM('GSS-09'!AD6,'GSS-97'!AD6,'GSS-62'!AD6)</f>
        <v>159650</v>
      </c>
      <c r="AS33" s="28">
        <f>SUM('GSS-09'!AE6,'GSS-97'!AE6,'GSS-62'!AE6)</f>
        <v>0</v>
      </c>
      <c r="AT33" s="107">
        <f>SUM('GSS-09'!AF11,'GSS-97'!AF11,'GSS-62'!AF11)</f>
        <v>-317278.62</v>
      </c>
      <c r="AU33" s="107">
        <f>SUM('GSS-09'!AG11,'GSS-97'!AG11,'GSS-62'!AG11)</f>
        <v>-395358.39</v>
      </c>
      <c r="AV33" s="107">
        <f>SUM('GSS-09'!AH11,'GSS-97'!AH11,'GSS-62'!AH11)</f>
        <v>-316825.44</v>
      </c>
      <c r="AW33" s="107">
        <f>SUM('GSS-09'!AI11,'GSS-97'!AI11,'GSS-62'!AI11)</f>
        <v>-75012.72</v>
      </c>
      <c r="AX33" s="28">
        <f>SUM('GSS-09'!AJ6,'GSS-97'!AJ6,'GSS-62'!AJ6)</f>
        <v>154500</v>
      </c>
      <c r="AY33" s="28">
        <f>SUM('GSS-09'!AK6,'GSS-97'!AK6,'GSS-62'!AK6)</f>
        <v>159650</v>
      </c>
      <c r="AZ33" s="28">
        <f>SUM('GSS-09'!AL6,'GSS-97'!AL6,'GSS-62'!AL6)</f>
        <v>154500</v>
      </c>
      <c r="BA33" s="107"/>
    </row>
    <row r="34" spans="1:53" s="213" customFormat="1">
      <c r="A34" s="212"/>
      <c r="B34" s="212"/>
      <c r="C34" s="212"/>
      <c r="D34" s="212"/>
      <c r="E34" s="371"/>
      <c r="F34" s="212" t="s">
        <v>92</v>
      </c>
      <c r="G34" s="214">
        <f t="shared" ref="G34:P34" si="36">SUM(G32:G33)</f>
        <v>917781</v>
      </c>
      <c r="H34" s="214">
        <f t="shared" si="36"/>
        <v>875304</v>
      </c>
      <c r="I34" s="214">
        <f t="shared" si="36"/>
        <v>388690</v>
      </c>
      <c r="J34" s="214">
        <f t="shared" si="36"/>
        <v>248543</v>
      </c>
      <c r="K34" s="214">
        <f t="shared" si="36"/>
        <v>-197336</v>
      </c>
      <c r="L34" s="214">
        <f>SUM(L32:L33)</f>
        <v>-911051</v>
      </c>
      <c r="M34" s="214">
        <f>SUM(M32:M33)</f>
        <v>-841222</v>
      </c>
      <c r="N34" s="214">
        <f>SUM(N32:N33)</f>
        <v>-543564</v>
      </c>
      <c r="O34" s="214">
        <f>SUM(O32:O33)</f>
        <v>-746089</v>
      </c>
      <c r="P34" s="214">
        <f t="shared" si="36"/>
        <v>347470</v>
      </c>
      <c r="Q34" s="214">
        <f>SUM(Q32:Q33)</f>
        <v>611444</v>
      </c>
      <c r="R34" s="214">
        <f>SUM(R32:R33)</f>
        <v>533120</v>
      </c>
      <c r="S34" s="214"/>
      <c r="W34" s="212" t="s">
        <v>92</v>
      </c>
      <c r="X34" s="214">
        <f t="shared" ref="X34:AI34" si="37">SUM(X32:X33)</f>
        <v>484441.92</v>
      </c>
      <c r="Y34" s="214">
        <f t="shared" si="37"/>
        <v>512024.58</v>
      </c>
      <c r="Z34" s="214">
        <f t="shared" si="37"/>
        <v>369161.28</v>
      </c>
      <c r="AA34" s="214">
        <f t="shared" si="37"/>
        <v>263780.64</v>
      </c>
      <c r="AB34" s="214">
        <f t="shared" si="37"/>
        <v>0</v>
      </c>
      <c r="AC34" s="214">
        <f t="shared" si="37"/>
        <v>-896514.48</v>
      </c>
      <c r="AD34" s="214">
        <f t="shared" si="37"/>
        <v>-1029759.5700000001</v>
      </c>
      <c r="AE34" s="214">
        <f t="shared" si="37"/>
        <v>-840895.98</v>
      </c>
      <c r="AF34" s="214">
        <f t="shared" si="37"/>
        <v>-350839.32000000007</v>
      </c>
      <c r="AG34" s="214">
        <f t="shared" si="37"/>
        <v>402743.94</v>
      </c>
      <c r="AH34" s="214">
        <f t="shared" si="37"/>
        <v>518224.58</v>
      </c>
      <c r="AI34" s="214">
        <f t="shared" si="37"/>
        <v>513074.58</v>
      </c>
      <c r="AJ34" s="214"/>
      <c r="AN34" s="212" t="s">
        <v>92</v>
      </c>
      <c r="AO34" s="214">
        <f t="shared" ref="AO34:AZ34" si="38">SUM(AO32:AO33)</f>
        <v>490641.91999999998</v>
      </c>
      <c r="AP34" s="214">
        <f t="shared" si="38"/>
        <v>518224.58</v>
      </c>
      <c r="AQ34" s="214">
        <f t="shared" si="38"/>
        <v>375161.28</v>
      </c>
      <c r="AR34" s="214">
        <f t="shared" si="38"/>
        <v>269980.64</v>
      </c>
      <c r="AS34" s="214">
        <f t="shared" si="38"/>
        <v>0</v>
      </c>
      <c r="AT34" s="214">
        <f t="shared" si="38"/>
        <v>-896514.48</v>
      </c>
      <c r="AU34" s="214">
        <f t="shared" si="38"/>
        <v>-1029759.5700000001</v>
      </c>
      <c r="AV34" s="214">
        <f t="shared" si="38"/>
        <v>-840895.98</v>
      </c>
      <c r="AW34" s="214">
        <f t="shared" si="38"/>
        <v>-350839.32000000007</v>
      </c>
      <c r="AX34" s="214">
        <f t="shared" si="38"/>
        <v>402743.94</v>
      </c>
      <c r="AY34" s="214">
        <f t="shared" si="38"/>
        <v>518224.58</v>
      </c>
      <c r="AZ34" s="214">
        <f t="shared" si="38"/>
        <v>513074.58</v>
      </c>
      <c r="BA34" s="214"/>
    </row>
    <row r="35" spans="1:53" s="213" customFormat="1">
      <c r="A35" s="212"/>
      <c r="B35" s="212"/>
      <c r="C35" s="212"/>
      <c r="D35" s="212"/>
      <c r="E35" s="371"/>
      <c r="F35" s="212" t="s">
        <v>469</v>
      </c>
      <c r="G35" s="214"/>
      <c r="H35" s="214"/>
      <c r="I35" s="214"/>
      <c r="J35" s="214"/>
      <c r="K35" s="214"/>
      <c r="L35" s="207">
        <f>(L109-'STORAGE TOT'!H11)</f>
        <v>-0.40296796250548361</v>
      </c>
      <c r="M35" s="207">
        <f>(M109-'STORAGE TOT'!I11)</f>
        <v>-0.45032421427023994</v>
      </c>
      <c r="N35" s="207">
        <f>(N109-'STORAGE TOT'!J11)</f>
        <v>-0.31938891569825856</v>
      </c>
      <c r="O35" s="207">
        <f>(O109-'STORAGE TOT'!K11)</f>
        <v>-0.80762525264785356</v>
      </c>
      <c r="P35" s="214"/>
      <c r="Q35" s="214"/>
      <c r="R35" s="214"/>
      <c r="S35" s="214"/>
      <c r="W35" s="212"/>
      <c r="X35" s="214"/>
      <c r="Y35" s="214"/>
      <c r="Z35" s="214"/>
      <c r="AA35" s="214"/>
      <c r="AB35" s="214"/>
      <c r="AC35" s="214"/>
      <c r="AD35" s="214"/>
      <c r="AE35" s="214"/>
      <c r="AF35" s="214"/>
      <c r="AG35" s="214"/>
      <c r="AH35" s="214"/>
      <c r="AI35" s="214"/>
      <c r="AJ35" s="214"/>
      <c r="AN35" s="212"/>
      <c r="AO35" s="214"/>
      <c r="AP35" s="214"/>
      <c r="AQ35" s="214"/>
      <c r="AR35" s="214"/>
      <c r="AS35" s="214"/>
      <c r="AT35" s="214"/>
      <c r="AU35" s="214"/>
      <c r="AV35" s="214"/>
      <c r="AW35" s="214"/>
      <c r="AX35" s="214"/>
      <c r="AY35" s="214"/>
      <c r="AZ35" s="214"/>
      <c r="BA35" s="214"/>
    </row>
    <row r="36" spans="1:53" s="213" customFormat="1">
      <c r="A36" s="212"/>
      <c r="B36" s="212"/>
      <c r="C36" s="212"/>
      <c r="D36" s="212"/>
      <c r="E36" s="371"/>
      <c r="F36" s="212" t="s">
        <v>470</v>
      </c>
      <c r="G36" s="214"/>
      <c r="H36" s="214"/>
      <c r="I36" s="214"/>
      <c r="J36" s="214"/>
      <c r="K36" s="214"/>
      <c r="L36" s="192">
        <f>-L35*L34</f>
        <v>-367124.36520858336</v>
      </c>
      <c r="M36" s="192">
        <f>-M35*M34</f>
        <v>-378822.63617683976</v>
      </c>
      <c r="N36" s="192">
        <f>-N35*N34</f>
        <v>-173608.31657260822</v>
      </c>
      <c r="O36" s="192">
        <f>-O35*O34</f>
        <v>-602560.31712278444</v>
      </c>
      <c r="P36" s="214"/>
      <c r="Q36" s="214"/>
      <c r="R36" s="214"/>
      <c r="S36" s="192">
        <f>SUM(L36:O36)</f>
        <v>-1522115.6350808158</v>
      </c>
      <c r="W36" s="212"/>
      <c r="X36" s="214"/>
      <c r="Y36" s="214"/>
      <c r="Z36" s="214"/>
      <c r="AA36" s="214"/>
      <c r="AB36" s="214"/>
      <c r="AC36" s="214"/>
      <c r="AD36" s="214"/>
      <c r="AE36" s="214"/>
      <c r="AF36" s="214"/>
      <c r="AG36" s="214"/>
      <c r="AH36" s="214"/>
      <c r="AI36" s="214"/>
      <c r="AJ36" s="214"/>
      <c r="AN36" s="212"/>
      <c r="AO36" s="214"/>
      <c r="AP36" s="214"/>
      <c r="AQ36" s="214"/>
      <c r="AR36" s="214"/>
      <c r="AS36" s="214"/>
      <c r="AT36" s="214"/>
      <c r="AU36" s="214"/>
      <c r="AV36" s="214"/>
      <c r="AW36" s="214"/>
      <c r="AX36" s="214"/>
      <c r="AY36" s="214"/>
      <c r="AZ36" s="214"/>
      <c r="BA36" s="214"/>
    </row>
    <row r="37" spans="1:53" s="213" customFormat="1">
      <c r="A37" s="212"/>
      <c r="B37" s="212"/>
      <c r="C37" s="212"/>
      <c r="D37" s="212"/>
      <c r="E37" s="371"/>
      <c r="F37" s="212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192"/>
      <c r="W37" s="212"/>
      <c r="X37" s="214"/>
      <c r="Y37" s="214"/>
      <c r="Z37" s="214"/>
      <c r="AA37" s="214"/>
      <c r="AB37" s="214"/>
      <c r="AC37" s="214"/>
      <c r="AD37" s="214"/>
      <c r="AE37" s="214"/>
      <c r="AF37" s="214"/>
      <c r="AG37" s="214"/>
      <c r="AH37" s="214"/>
      <c r="AI37" s="214"/>
      <c r="AJ37" s="214"/>
      <c r="AN37" s="212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</row>
    <row r="38" spans="1:53">
      <c r="F38" s="11" t="s">
        <v>770</v>
      </c>
      <c r="G38" s="124">
        <f>G39/$S$39</f>
        <v>8.5593792483078371E-2</v>
      </c>
      <c r="H38" s="124">
        <f>H39/$S$39</f>
        <v>8.2704316894482099E-2</v>
      </c>
      <c r="I38" s="124">
        <f>I39/$S$39</f>
        <v>5.6360106622375672E-2</v>
      </c>
      <c r="J38" s="124">
        <f>J39/$S$39</f>
        <v>8.2235056919854582E-2</v>
      </c>
      <c r="K38" s="124">
        <f t="shared" ref="K38:R38" si="39">K39/$S$39</f>
        <v>8.9751834201059755E-2</v>
      </c>
      <c r="L38" s="124">
        <f t="shared" si="39"/>
        <v>9.0803728879230605E-2</v>
      </c>
      <c r="M38" s="124">
        <f t="shared" si="39"/>
        <v>0.11261164856638541</v>
      </c>
      <c r="N38" s="124">
        <f t="shared" si="39"/>
        <v>0.10210569191018672</v>
      </c>
      <c r="O38" s="124">
        <f t="shared" si="39"/>
        <v>6.5875210716133753E-2</v>
      </c>
      <c r="P38" s="124">
        <f t="shared" si="39"/>
        <v>9.0877358117061297E-2</v>
      </c>
      <c r="Q38" s="124">
        <f t="shared" si="39"/>
        <v>7.9395583124719601E-2</v>
      </c>
      <c r="R38" s="124">
        <f t="shared" si="39"/>
        <v>6.1685671565432143E-2</v>
      </c>
      <c r="S38" s="128">
        <f>SUM(G38:R38)</f>
        <v>1</v>
      </c>
      <c r="AJ38" s="10"/>
      <c r="BA38" s="10"/>
    </row>
    <row r="39" spans="1:53" s="59" customFormat="1">
      <c r="E39" s="371"/>
      <c r="F39" s="59" t="s">
        <v>437</v>
      </c>
      <c r="G39" s="59">
        <f t="shared" ref="G39:R39" si="40">SUM(G7,G34)</f>
        <v>1471146.3663415962</v>
      </c>
      <c r="H39" s="59">
        <f t="shared" si="40"/>
        <v>1421483.4014293156</v>
      </c>
      <c r="I39" s="59">
        <f t="shared" si="40"/>
        <v>968691.34616887954</v>
      </c>
      <c r="J39" s="59">
        <f t="shared" si="40"/>
        <v>1413417.9788499936</v>
      </c>
      <c r="K39" s="143">
        <f t="shared" si="40"/>
        <v>1542612.8569251793</v>
      </c>
      <c r="L39" s="143">
        <f t="shared" si="40"/>
        <v>1560692.3342876416</v>
      </c>
      <c r="M39" s="143">
        <f t="shared" si="40"/>
        <v>1935516.7330496171</v>
      </c>
      <c r="N39" s="143">
        <f t="shared" si="40"/>
        <v>1754945.2276712968</v>
      </c>
      <c r="O39" s="143">
        <f t="shared" si="40"/>
        <v>1132232.5377297236</v>
      </c>
      <c r="P39" s="59">
        <f t="shared" si="40"/>
        <v>1561957.8394434336</v>
      </c>
      <c r="Q39" s="59">
        <f t="shared" si="40"/>
        <v>1364614.4215492602</v>
      </c>
      <c r="R39" s="59">
        <f t="shared" si="40"/>
        <v>1060224.6838959421</v>
      </c>
      <c r="S39" s="216">
        <f>SUM(G39:R39)</f>
        <v>17187535.727341879</v>
      </c>
      <c r="W39" s="59" t="s">
        <v>437</v>
      </c>
      <c r="X39" s="59">
        <f t="shared" ref="X39:AI39" si="41">SUM(X7,X34)</f>
        <v>1041540.9058546345</v>
      </c>
      <c r="Y39" s="59">
        <f t="shared" si="41"/>
        <v>1057670.934275687</v>
      </c>
      <c r="Z39" s="59">
        <f t="shared" si="41"/>
        <v>946421.28364133602</v>
      </c>
      <c r="AA39" s="59">
        <f t="shared" si="41"/>
        <v>1446971.12096318</v>
      </c>
      <c r="AB39" s="143">
        <f t="shared" si="41"/>
        <v>1757052.9348683055</v>
      </c>
      <c r="AC39" s="143">
        <f t="shared" si="41"/>
        <v>1599391.9121273789</v>
      </c>
      <c r="AD39" s="143">
        <f t="shared" si="41"/>
        <v>1774253.0133670189</v>
      </c>
      <c r="AE39" s="143">
        <f t="shared" si="41"/>
        <v>1487775.829040919</v>
      </c>
      <c r="AF39" s="143">
        <f t="shared" si="41"/>
        <v>1553985.017650875</v>
      </c>
      <c r="AG39" s="59">
        <f t="shared" si="41"/>
        <v>1633932.1974588383</v>
      </c>
      <c r="AH39" s="59">
        <f t="shared" si="41"/>
        <v>1288864.0896515129</v>
      </c>
      <c r="AI39" s="59">
        <f t="shared" si="41"/>
        <v>1049696.2358072582</v>
      </c>
      <c r="AJ39" s="216">
        <f>SUM(X39:AI39)</f>
        <v>16637555.474706944</v>
      </c>
      <c r="AN39" s="59" t="s">
        <v>437</v>
      </c>
      <c r="AO39" s="59">
        <f t="shared" ref="AO39:AZ39" si="42">SUM(AO7,AO34)</f>
        <v>1055339.3865219948</v>
      </c>
      <c r="AP39" s="59">
        <f t="shared" si="42"/>
        <v>1071469.4149430476</v>
      </c>
      <c r="AQ39" s="59">
        <f t="shared" si="42"/>
        <v>960503.19147521956</v>
      </c>
      <c r="AR39" s="59">
        <f t="shared" si="42"/>
        <v>1466139.9147850666</v>
      </c>
      <c r="AS39" s="143">
        <f t="shared" si="42"/>
        <v>1779116.9851945811</v>
      </c>
      <c r="AT39" s="143">
        <f t="shared" si="42"/>
        <v>1625659.8564716489</v>
      </c>
      <c r="AU39" s="143">
        <f t="shared" si="42"/>
        <v>1802899.3967932381</v>
      </c>
      <c r="AV39" s="143">
        <f t="shared" si="42"/>
        <v>1508474.0959470435</v>
      </c>
      <c r="AW39" s="143">
        <f t="shared" si="42"/>
        <v>1573906.6285091604</v>
      </c>
      <c r="AX39" s="59">
        <f t="shared" si="42"/>
        <v>1648599.6243497522</v>
      </c>
      <c r="AY39" s="59">
        <f t="shared" si="42"/>
        <v>1297969.0520330754</v>
      </c>
      <c r="AZ39" s="59">
        <f t="shared" si="42"/>
        <v>1057288.6534310195</v>
      </c>
      <c r="BA39" s="216">
        <f>SUM(AO39:AZ39)</f>
        <v>16847366.20045485</v>
      </c>
    </row>
    <row r="40" spans="1:53">
      <c r="F40" s="22" t="s">
        <v>94</v>
      </c>
      <c r="G40" s="22">
        <f t="shared" ref="G40:S40" si="43">G39/G1</f>
        <v>47456.334398116007</v>
      </c>
      <c r="H40" s="22">
        <f t="shared" si="43"/>
        <v>45854.303271913406</v>
      </c>
      <c r="I40" s="22">
        <f t="shared" si="43"/>
        <v>32289.711538962652</v>
      </c>
      <c r="J40" s="22">
        <f t="shared" si="43"/>
        <v>45594.128349999795</v>
      </c>
      <c r="K40" s="22">
        <f t="shared" si="43"/>
        <v>51420.428564172638</v>
      </c>
      <c r="L40" s="22">
        <f t="shared" si="43"/>
        <v>50344.914009278764</v>
      </c>
      <c r="M40" s="22">
        <f t="shared" si="43"/>
        <v>62436.023646761845</v>
      </c>
      <c r="N40" s="22">
        <f t="shared" si="43"/>
        <v>62676.615273974887</v>
      </c>
      <c r="O40" s="22">
        <f t="shared" si="43"/>
        <v>36523.630249345922</v>
      </c>
      <c r="P40" s="22">
        <f t="shared" si="43"/>
        <v>52065.261314781121</v>
      </c>
      <c r="Q40" s="22">
        <f t="shared" si="43"/>
        <v>44019.820049976137</v>
      </c>
      <c r="R40" s="22">
        <f t="shared" si="43"/>
        <v>35340.8227965314</v>
      </c>
      <c r="S40" s="28">
        <f t="shared" si="43"/>
        <v>47089.138979018848</v>
      </c>
      <c r="W40" s="22" t="s">
        <v>94</v>
      </c>
      <c r="X40" s="22">
        <f t="shared" ref="X40:AJ40" si="44">X39/X1</f>
        <v>33598.093737246272</v>
      </c>
      <c r="Y40" s="22">
        <f t="shared" si="44"/>
        <v>34118.417234699577</v>
      </c>
      <c r="Z40" s="22">
        <f t="shared" si="44"/>
        <v>31547.376121377867</v>
      </c>
      <c r="AA40" s="22">
        <f t="shared" si="44"/>
        <v>46676.487773005807</v>
      </c>
      <c r="AB40" s="22">
        <f t="shared" si="44"/>
        <v>58568.431162276851</v>
      </c>
      <c r="AC40" s="22">
        <f t="shared" si="44"/>
        <v>51593.287487979964</v>
      </c>
      <c r="AD40" s="22">
        <f t="shared" si="44"/>
        <v>57233.968173129644</v>
      </c>
      <c r="AE40" s="22">
        <f t="shared" si="44"/>
        <v>51302.614794514448</v>
      </c>
      <c r="AF40" s="22">
        <f t="shared" si="44"/>
        <v>50128.548956479841</v>
      </c>
      <c r="AG40" s="22">
        <f t="shared" si="44"/>
        <v>54464.406581961281</v>
      </c>
      <c r="AH40" s="22">
        <f t="shared" si="44"/>
        <v>41576.260956500417</v>
      </c>
      <c r="AI40" s="22">
        <f t="shared" si="44"/>
        <v>34989.874526908607</v>
      </c>
      <c r="AJ40" s="22">
        <f t="shared" si="44"/>
        <v>45457.801843461595</v>
      </c>
      <c r="AN40" s="22" t="s">
        <v>94</v>
      </c>
      <c r="AO40" s="22">
        <f t="shared" ref="AO40:BA40" si="45">AO39/AO1</f>
        <v>34043.206016838543</v>
      </c>
      <c r="AP40" s="22">
        <f t="shared" si="45"/>
        <v>34563.529514291855</v>
      </c>
      <c r="AQ40" s="22">
        <f t="shared" si="45"/>
        <v>32016.773049173986</v>
      </c>
      <c r="AR40" s="22">
        <f t="shared" si="45"/>
        <v>47294.835960808603</v>
      </c>
      <c r="AS40" s="22">
        <f t="shared" si="45"/>
        <v>59303.899506486036</v>
      </c>
      <c r="AT40" s="22">
        <f t="shared" si="45"/>
        <v>52440.64053134351</v>
      </c>
      <c r="AU40" s="22">
        <f t="shared" si="45"/>
        <v>58158.045057846393</v>
      </c>
      <c r="AV40" s="22">
        <f t="shared" si="45"/>
        <v>53874.074855251551</v>
      </c>
      <c r="AW40" s="22">
        <f t="shared" si="45"/>
        <v>50771.181564811624</v>
      </c>
      <c r="AX40" s="22">
        <f t="shared" si="45"/>
        <v>54953.320811658406</v>
      </c>
      <c r="AY40" s="22">
        <f t="shared" si="45"/>
        <v>41869.969420421789</v>
      </c>
      <c r="AZ40" s="22">
        <f t="shared" si="45"/>
        <v>35242.955114367316</v>
      </c>
      <c r="BA40" s="22">
        <f t="shared" si="45"/>
        <v>46157.167672479038</v>
      </c>
    </row>
    <row r="41" spans="1:53">
      <c r="F41" s="10" t="s">
        <v>95</v>
      </c>
      <c r="G41" s="22">
        <f>50979+9932+9054+6000+25000</f>
        <v>100965</v>
      </c>
      <c r="H41" s="22">
        <f t="shared" ref="H41:R41" si="46">50979+9932+9054+6000+25000</f>
        <v>100965</v>
      </c>
      <c r="I41" s="22">
        <f t="shared" si="46"/>
        <v>100965</v>
      </c>
      <c r="J41" s="22">
        <f t="shared" si="46"/>
        <v>100965</v>
      </c>
      <c r="K41" s="22">
        <f t="shared" si="46"/>
        <v>100965</v>
      </c>
      <c r="L41" s="22">
        <f t="shared" si="46"/>
        <v>100965</v>
      </c>
      <c r="M41" s="22">
        <f t="shared" si="46"/>
        <v>100965</v>
      </c>
      <c r="N41" s="22">
        <f t="shared" si="46"/>
        <v>100965</v>
      </c>
      <c r="O41" s="22">
        <f t="shared" si="46"/>
        <v>100965</v>
      </c>
      <c r="P41" s="22">
        <f t="shared" si="46"/>
        <v>100965</v>
      </c>
      <c r="Q41" s="22">
        <f t="shared" si="46"/>
        <v>100965</v>
      </c>
      <c r="R41" s="22">
        <f t="shared" si="46"/>
        <v>100965</v>
      </c>
      <c r="S41" s="28"/>
      <c r="W41" s="10" t="s">
        <v>95</v>
      </c>
      <c r="X41" s="22">
        <f>50979+9932+9054+6000</f>
        <v>75965</v>
      </c>
      <c r="Y41" s="22">
        <f>50979+9932+9054+6000</f>
        <v>75965</v>
      </c>
      <c r="Z41" s="22">
        <f>50979+9932+9054+6000</f>
        <v>75965</v>
      </c>
      <c r="AA41" s="22">
        <f>50979+9932+9054+6000</f>
        <v>75965</v>
      </c>
      <c r="AB41" s="22">
        <f>50979+9932+9054+6000+10000</f>
        <v>85965</v>
      </c>
      <c r="AC41" s="22">
        <f>50979+9932+9054+6000+10000</f>
        <v>85965</v>
      </c>
      <c r="AD41" s="22">
        <f>50979+9932+9054+6000+10000</f>
        <v>85965</v>
      </c>
      <c r="AE41" s="22">
        <f>50979+9932+9054+6000+10000</f>
        <v>85965</v>
      </c>
      <c r="AF41" s="22">
        <f>50979+9932+9054+6000+10000</f>
        <v>85965</v>
      </c>
      <c r="AG41" s="22">
        <f>50979+9932+9054+6000</f>
        <v>75965</v>
      </c>
      <c r="AH41" s="22">
        <f>50979+9932+9054+6000</f>
        <v>75965</v>
      </c>
      <c r="AI41" s="22">
        <f>50979+9932+9054+6000</f>
        <v>75965</v>
      </c>
      <c r="AJ41" s="22">
        <f>(7*75965+5*85965)/12</f>
        <v>80131.666666666672</v>
      </c>
      <c r="AN41" s="10" t="s">
        <v>95</v>
      </c>
      <c r="AO41" s="22">
        <f>50979+9932+9054+6000</f>
        <v>75965</v>
      </c>
      <c r="AP41" s="22">
        <f>50979+9932+9054+6000</f>
        <v>75965</v>
      </c>
      <c r="AQ41" s="22">
        <f>50979+9932+9054+6000</f>
        <v>75965</v>
      </c>
      <c r="AR41" s="22">
        <f>50979+9932+9054+6000</f>
        <v>75965</v>
      </c>
      <c r="AS41" s="22">
        <f>50979+9932+9054+6000+10000</f>
        <v>85965</v>
      </c>
      <c r="AT41" s="22">
        <f>50979+9932+9054+6000+10000</f>
        <v>85965</v>
      </c>
      <c r="AU41" s="22">
        <f>50979+9932+9054+6000+10000</f>
        <v>85965</v>
      </c>
      <c r="AV41" s="22">
        <f>50979+9932+9054+6000+10000</f>
        <v>85965</v>
      </c>
      <c r="AW41" s="22">
        <f>50979+9932+9054+6000+10000</f>
        <v>85965</v>
      </c>
      <c r="AX41" s="22">
        <f>50979+9932+9054+6000</f>
        <v>75965</v>
      </c>
      <c r="AY41" s="22">
        <f>50979+9932+9054+6000</f>
        <v>75965</v>
      </c>
      <c r="AZ41" s="22">
        <f>50979+9932+9054+6000</f>
        <v>75965</v>
      </c>
      <c r="BA41" s="22">
        <f>(7*75965+5*85965)/12</f>
        <v>80131.666666666672</v>
      </c>
    </row>
    <row r="42" spans="1:53">
      <c r="K42" s="22"/>
      <c r="L42" s="22"/>
      <c r="M42" s="22"/>
      <c r="N42" s="22"/>
      <c r="O42" s="22"/>
      <c r="S42" s="28"/>
      <c r="T42" s="22"/>
      <c r="AJ42" s="10"/>
      <c r="BA42" s="10"/>
    </row>
    <row r="43" spans="1:53">
      <c r="F43" s="10" t="s">
        <v>775</v>
      </c>
      <c r="G43" s="22">
        <f t="shared" ref="G43:R43" si="47">G44*G1</f>
        <v>347200</v>
      </c>
      <c r="H43" s="22">
        <f t="shared" si="47"/>
        <v>347200</v>
      </c>
      <c r="I43" s="22">
        <f t="shared" si="47"/>
        <v>225000</v>
      </c>
      <c r="J43" s="22">
        <f t="shared" si="47"/>
        <v>120900</v>
      </c>
      <c r="K43" s="22">
        <f t="shared" si="47"/>
        <v>300000</v>
      </c>
      <c r="L43" s="22">
        <f t="shared" si="47"/>
        <v>465000</v>
      </c>
      <c r="M43" s="22">
        <f t="shared" si="47"/>
        <v>465000</v>
      </c>
      <c r="N43" s="22">
        <f t="shared" si="47"/>
        <v>420000</v>
      </c>
      <c r="O43" s="22">
        <f t="shared" si="47"/>
        <v>310000</v>
      </c>
      <c r="P43" s="22">
        <f t="shared" si="47"/>
        <v>261000</v>
      </c>
      <c r="Q43" s="22">
        <f t="shared" si="47"/>
        <v>347200</v>
      </c>
      <c r="R43" s="22">
        <f t="shared" si="47"/>
        <v>348000</v>
      </c>
      <c r="S43" s="131">
        <f>SUM(G43:R43)</f>
        <v>3956500</v>
      </c>
      <c r="T43" s="124">
        <f>S43/S39</f>
        <v>0.23019588513238765</v>
      </c>
      <c r="W43" s="10" t="s">
        <v>775</v>
      </c>
      <c r="X43" s="22">
        <f t="shared" ref="X43:AI43" si="48">X44*X1</f>
        <v>347200</v>
      </c>
      <c r="Y43" s="22">
        <f t="shared" si="48"/>
        <v>347200</v>
      </c>
      <c r="Z43" s="22">
        <f t="shared" si="48"/>
        <v>225000</v>
      </c>
      <c r="AA43" s="22">
        <f t="shared" si="48"/>
        <v>120900</v>
      </c>
      <c r="AB43" s="22">
        <f t="shared" si="48"/>
        <v>300000</v>
      </c>
      <c r="AC43" s="22">
        <f t="shared" si="48"/>
        <v>465000</v>
      </c>
      <c r="AD43" s="22">
        <f t="shared" si="48"/>
        <v>465000</v>
      </c>
      <c r="AE43" s="22">
        <f t="shared" si="48"/>
        <v>435000</v>
      </c>
      <c r="AF43" s="22">
        <f t="shared" si="48"/>
        <v>306900</v>
      </c>
      <c r="AG43" s="22">
        <f t="shared" si="48"/>
        <v>261000</v>
      </c>
      <c r="AH43" s="22">
        <f t="shared" si="48"/>
        <v>347200</v>
      </c>
      <c r="AI43" s="22">
        <f t="shared" si="48"/>
        <v>348000</v>
      </c>
      <c r="AJ43" s="22">
        <f>SUM(X43:AI43)</f>
        <v>3968400</v>
      </c>
      <c r="AN43" s="10" t="s">
        <v>775</v>
      </c>
      <c r="AO43" s="22">
        <f t="shared" ref="AO43:AZ43" si="49">AO44*AO1</f>
        <v>347200</v>
      </c>
      <c r="AP43" s="22">
        <f t="shared" si="49"/>
        <v>347200</v>
      </c>
      <c r="AQ43" s="22">
        <f t="shared" si="49"/>
        <v>225000</v>
      </c>
      <c r="AR43" s="22">
        <f t="shared" si="49"/>
        <v>120900</v>
      </c>
      <c r="AS43" s="22">
        <f t="shared" si="49"/>
        <v>323250</v>
      </c>
      <c r="AT43" s="22">
        <f t="shared" si="49"/>
        <v>449500</v>
      </c>
      <c r="AU43" s="22">
        <f t="shared" si="49"/>
        <v>465000</v>
      </c>
      <c r="AV43" s="22">
        <f t="shared" si="49"/>
        <v>420000</v>
      </c>
      <c r="AW43" s="22">
        <f t="shared" si="49"/>
        <v>306900</v>
      </c>
      <c r="AX43" s="22">
        <f t="shared" si="49"/>
        <v>261000</v>
      </c>
      <c r="AY43" s="22">
        <f t="shared" si="49"/>
        <v>347200</v>
      </c>
      <c r="AZ43" s="22">
        <f t="shared" si="49"/>
        <v>348000</v>
      </c>
      <c r="BA43" s="22">
        <f>SUM(AO43:AZ43)</f>
        <v>3961150</v>
      </c>
    </row>
    <row r="44" spans="1:53" s="22" customFormat="1">
      <c r="E44" s="370"/>
      <c r="F44" s="22" t="s">
        <v>776</v>
      </c>
      <c r="G44" s="22">
        <v>11200</v>
      </c>
      <c r="H44" s="22">
        <v>11200</v>
      </c>
      <c r="I44" s="22">
        <v>7500</v>
      </c>
      <c r="J44" s="22">
        <v>3900</v>
      </c>
      <c r="K44" s="22">
        <v>10000</v>
      </c>
      <c r="L44" s="22">
        <v>15000</v>
      </c>
      <c r="M44" s="22">
        <v>15000</v>
      </c>
      <c r="N44" s="22">
        <v>15000</v>
      </c>
      <c r="O44" s="22">
        <v>10000</v>
      </c>
      <c r="P44" s="22">
        <v>8700</v>
      </c>
      <c r="Q44" s="22">
        <v>11200</v>
      </c>
      <c r="R44" s="22">
        <v>11600</v>
      </c>
      <c r="S44" s="28">
        <f>S43/SUM(J1:R1)</f>
        <v>14492.673992673992</v>
      </c>
      <c r="W44" s="22" t="s">
        <v>776</v>
      </c>
      <c r="X44" s="22">
        <v>11200</v>
      </c>
      <c r="Y44" s="22">
        <v>11200</v>
      </c>
      <c r="Z44" s="22">
        <v>7500</v>
      </c>
      <c r="AA44" s="22">
        <v>3900</v>
      </c>
      <c r="AB44" s="22">
        <v>10000</v>
      </c>
      <c r="AC44" s="22">
        <v>15000</v>
      </c>
      <c r="AD44" s="22">
        <v>15000</v>
      </c>
      <c r="AE44" s="22">
        <v>15000</v>
      </c>
      <c r="AF44" s="22">
        <v>9900</v>
      </c>
      <c r="AG44" s="22">
        <v>8700</v>
      </c>
      <c r="AH44" s="22">
        <v>11200</v>
      </c>
      <c r="AI44" s="22">
        <v>11600</v>
      </c>
      <c r="AN44" s="22" t="s">
        <v>776</v>
      </c>
      <c r="AO44" s="22">
        <v>11200</v>
      </c>
      <c r="AP44" s="22">
        <v>11200</v>
      </c>
      <c r="AQ44" s="22">
        <v>7500</v>
      </c>
      <c r="AR44" s="22">
        <v>3900</v>
      </c>
      <c r="AS44" s="22">
        <v>10775</v>
      </c>
      <c r="AT44" s="22">
        <v>14500</v>
      </c>
      <c r="AU44" s="22">
        <v>15000</v>
      </c>
      <c r="AV44" s="22">
        <v>15000</v>
      </c>
      <c r="AW44" s="22">
        <v>9900</v>
      </c>
      <c r="AX44" s="22">
        <v>8700</v>
      </c>
      <c r="AY44" s="22">
        <v>11200</v>
      </c>
      <c r="AZ44" s="22">
        <v>11600</v>
      </c>
    </row>
    <row r="45" spans="1:53">
      <c r="E45" s="371"/>
      <c r="F45" s="10" t="s">
        <v>777</v>
      </c>
      <c r="G45" s="32">
        <f>G43*G46</f>
        <v>1516222.4</v>
      </c>
      <c r="H45" s="32">
        <f t="shared" ref="H45:R45" si="50">H43*H46</f>
        <v>1536012.8</v>
      </c>
      <c r="I45" s="32">
        <f t="shared" si="50"/>
        <v>742724.99999999988</v>
      </c>
      <c r="J45" s="32">
        <f t="shared" si="50"/>
        <v>421578.3</v>
      </c>
      <c r="K45" s="32">
        <f t="shared" si="50"/>
        <v>882599.99999999988</v>
      </c>
      <c r="L45" s="32">
        <f t="shared" si="50"/>
        <v>1821405.0000000002</v>
      </c>
      <c r="M45" s="32">
        <f t="shared" si="50"/>
        <v>1797690</v>
      </c>
      <c r="N45" s="32">
        <f t="shared" si="50"/>
        <v>1665720</v>
      </c>
      <c r="O45" s="32">
        <f t="shared" si="50"/>
        <v>1067330</v>
      </c>
      <c r="P45" s="32">
        <f t="shared" si="50"/>
        <v>1015290</v>
      </c>
      <c r="Q45" s="32">
        <f t="shared" si="50"/>
        <v>1398174.4000000001</v>
      </c>
      <c r="R45" s="32">
        <f t="shared" si="50"/>
        <v>1383647.9999999998</v>
      </c>
      <c r="S45" s="199">
        <f>SUM(G45:R45)</f>
        <v>15248395.9</v>
      </c>
      <c r="T45" s="22"/>
      <c r="W45" s="10" t="s">
        <v>777</v>
      </c>
      <c r="X45" s="32">
        <f>X43*X46</f>
        <v>1391230.4000000001</v>
      </c>
      <c r="Y45" s="32">
        <f t="shared" ref="Y45:AI45" si="51">Y43*Y46</f>
        <v>1395744.0000000002</v>
      </c>
      <c r="Z45" s="32">
        <f t="shared" si="51"/>
        <v>819900</v>
      </c>
      <c r="AA45" s="32">
        <f t="shared" si="51"/>
        <v>443098.49999999994</v>
      </c>
      <c r="AB45" s="32">
        <f t="shared" si="51"/>
        <v>1145100</v>
      </c>
      <c r="AC45" s="32">
        <f t="shared" si="51"/>
        <v>1877670.0000000002</v>
      </c>
      <c r="AD45" s="32">
        <f t="shared" si="51"/>
        <v>1922775.0000000002</v>
      </c>
      <c r="AE45" s="32">
        <f t="shared" si="51"/>
        <v>1799160</v>
      </c>
      <c r="AF45" s="32">
        <f t="shared" si="51"/>
        <v>1260745.2000000002</v>
      </c>
      <c r="AG45" s="32">
        <f t="shared" si="51"/>
        <v>1060443.0000000002</v>
      </c>
      <c r="AH45" s="32">
        <f t="shared" si="51"/>
        <v>1419700.8</v>
      </c>
      <c r="AI45" s="32">
        <f t="shared" si="51"/>
        <v>1434108.0000000002</v>
      </c>
      <c r="AJ45" s="43">
        <f>SUM(X45:AI45)</f>
        <v>15969674.900000002</v>
      </c>
      <c r="AN45" s="10" t="s">
        <v>777</v>
      </c>
      <c r="BA45" s="10"/>
    </row>
    <row r="46" spans="1:53">
      <c r="E46" s="29">
        <f>-0.35</f>
        <v>-0.35</v>
      </c>
      <c r="F46" s="10" t="s">
        <v>778</v>
      </c>
      <c r="G46" s="189">
        <f>G109+$E$46</f>
        <v>4.367</v>
      </c>
      <c r="H46" s="189">
        <f t="shared" ref="H46:R46" si="52">H109+$E$46</f>
        <v>4.4240000000000004</v>
      </c>
      <c r="I46" s="189">
        <f t="shared" si="52"/>
        <v>3.3009999999999997</v>
      </c>
      <c r="J46" s="189">
        <f t="shared" si="52"/>
        <v>3.4870000000000001</v>
      </c>
      <c r="K46" s="189">
        <f t="shared" si="52"/>
        <v>2.9419999999999997</v>
      </c>
      <c r="L46" s="189">
        <f t="shared" si="52"/>
        <v>3.9170000000000003</v>
      </c>
      <c r="M46" s="189">
        <f t="shared" si="52"/>
        <v>3.8660000000000001</v>
      </c>
      <c r="N46" s="189">
        <f t="shared" si="52"/>
        <v>3.9659999999999997</v>
      </c>
      <c r="O46" s="189">
        <f t="shared" si="52"/>
        <v>3.4430000000000001</v>
      </c>
      <c r="P46" s="189">
        <f t="shared" si="52"/>
        <v>3.89</v>
      </c>
      <c r="Q46" s="189">
        <f t="shared" si="52"/>
        <v>4.0270000000000001</v>
      </c>
      <c r="R46" s="189">
        <f t="shared" si="52"/>
        <v>3.9759999999999995</v>
      </c>
      <c r="S46" s="28"/>
      <c r="T46" s="22"/>
      <c r="V46" s="29">
        <f>-0.35</f>
        <v>-0.35</v>
      </c>
      <c r="W46" s="10" t="s">
        <v>778</v>
      </c>
      <c r="X46" s="189">
        <f>X109+$V$46</f>
        <v>4.0070000000000006</v>
      </c>
      <c r="Y46" s="189">
        <f t="shared" ref="Y46:AI46" si="53">Y109+$V$46</f>
        <v>4.0200000000000005</v>
      </c>
      <c r="Z46" s="189">
        <f t="shared" si="53"/>
        <v>3.6440000000000001</v>
      </c>
      <c r="AA46" s="189">
        <f t="shared" si="53"/>
        <v>3.6649999999999996</v>
      </c>
      <c r="AB46" s="189">
        <f t="shared" si="53"/>
        <v>3.8169999999999997</v>
      </c>
      <c r="AC46" s="189">
        <f t="shared" si="53"/>
        <v>4.0380000000000003</v>
      </c>
      <c r="AD46" s="189">
        <f t="shared" si="53"/>
        <v>4.1350000000000007</v>
      </c>
      <c r="AE46" s="189">
        <f t="shared" si="53"/>
        <v>4.1360000000000001</v>
      </c>
      <c r="AF46" s="189">
        <f t="shared" si="53"/>
        <v>4.1080000000000005</v>
      </c>
      <c r="AG46" s="189">
        <f t="shared" si="53"/>
        <v>4.0630000000000006</v>
      </c>
      <c r="AH46" s="189">
        <f t="shared" si="53"/>
        <v>4.0890000000000004</v>
      </c>
      <c r="AI46" s="189">
        <f t="shared" si="53"/>
        <v>4.1210000000000004</v>
      </c>
      <c r="AJ46" s="10"/>
      <c r="AM46" s="29">
        <f>-0.35</f>
        <v>-0.35</v>
      </c>
      <c r="AN46" s="10" t="s">
        <v>778</v>
      </c>
      <c r="AO46" s="189">
        <f>AO109+$AM$46</f>
        <v>4.16</v>
      </c>
      <c r="AP46" s="189">
        <f t="shared" ref="AP46:AZ46" si="54">AP109+$AM$46</f>
        <v>4.1840000000000002</v>
      </c>
      <c r="AQ46" s="189">
        <f t="shared" si="54"/>
        <v>4.1880000000000006</v>
      </c>
      <c r="AR46" s="189">
        <f t="shared" si="54"/>
        <v>4.2200000000000006</v>
      </c>
      <c r="AS46" s="189">
        <f t="shared" si="54"/>
        <v>4.3800000000000008</v>
      </c>
      <c r="AT46" s="189">
        <f t="shared" si="54"/>
        <v>4.6130000000000004</v>
      </c>
      <c r="AU46" s="189">
        <f t="shared" si="54"/>
        <v>4.74</v>
      </c>
      <c r="AV46" s="189">
        <f t="shared" si="54"/>
        <v>4.7130000000000001</v>
      </c>
      <c r="AW46" s="189">
        <f t="shared" si="54"/>
        <v>4.6440000000000001</v>
      </c>
      <c r="AX46" s="189">
        <f t="shared" si="54"/>
        <v>4.476</v>
      </c>
      <c r="AY46" s="189">
        <f t="shared" si="54"/>
        <v>4.4880000000000004</v>
      </c>
      <c r="AZ46" s="189">
        <f t="shared" si="54"/>
        <v>4.5230000000000006</v>
      </c>
      <c r="BA46" s="10"/>
    </row>
    <row r="47" spans="1:53">
      <c r="F47" s="10" t="s">
        <v>858</v>
      </c>
      <c r="G47" s="28">
        <f>G48*G1</f>
        <v>0</v>
      </c>
      <c r="H47" s="28">
        <f>H48*H1</f>
        <v>0</v>
      </c>
      <c r="I47" s="28">
        <f>I48*I1</f>
        <v>0</v>
      </c>
      <c r="J47" s="17"/>
      <c r="K47" s="17"/>
      <c r="L47" s="17"/>
      <c r="M47" s="17"/>
      <c r="N47" s="17"/>
      <c r="O47" s="17"/>
      <c r="P47" s="17"/>
      <c r="Q47" s="17"/>
      <c r="R47" s="17"/>
      <c r="S47" s="131">
        <f>SUM(G47:R47)</f>
        <v>0</v>
      </c>
      <c r="T47" s="22"/>
      <c r="V47" s="29"/>
      <c r="W47" s="10" t="s">
        <v>858</v>
      </c>
      <c r="X47" s="28"/>
      <c r="Y47" s="28"/>
      <c r="Z47" s="28"/>
      <c r="AA47" s="17"/>
      <c r="AB47" s="17"/>
      <c r="AC47" s="17"/>
      <c r="AD47" s="17"/>
      <c r="AE47" s="17"/>
      <c r="AF47" s="17"/>
      <c r="AG47" s="17"/>
      <c r="AH47" s="17"/>
      <c r="AI47" s="17"/>
      <c r="AJ47" s="22">
        <f>SUM(X47:AI47)</f>
        <v>0</v>
      </c>
      <c r="BA47" s="10"/>
    </row>
    <row r="48" spans="1:53" s="31" customFormat="1">
      <c r="A48" s="22"/>
      <c r="B48" s="22"/>
      <c r="C48" s="22"/>
      <c r="D48" s="22"/>
      <c r="E48" s="370"/>
      <c r="F48" s="22" t="s">
        <v>859</v>
      </c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2">
        <f>S47/SUM(G1:I1)</f>
        <v>0</v>
      </c>
      <c r="T48" s="22"/>
      <c r="V48" s="22"/>
      <c r="W48" s="22" t="s">
        <v>859</v>
      </c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2">
        <f>AJ47/SUM(X1:Z1)</f>
        <v>0</v>
      </c>
      <c r="AN48" s="22"/>
      <c r="BA48" s="22"/>
    </row>
    <row r="49" spans="5:53">
      <c r="F49" s="10" t="s">
        <v>860</v>
      </c>
      <c r="G49" s="32">
        <f>G47*G50</f>
        <v>0</v>
      </c>
      <c r="H49" s="32">
        <f>H47*H50</f>
        <v>0</v>
      </c>
      <c r="I49" s="32">
        <f>I47*I50</f>
        <v>0</v>
      </c>
      <c r="J49" s="17"/>
      <c r="K49" s="17"/>
      <c r="L49" s="17"/>
      <c r="M49" s="17"/>
      <c r="N49" s="17"/>
      <c r="O49" s="17"/>
      <c r="P49" s="17"/>
      <c r="Q49" s="17"/>
      <c r="R49" s="17"/>
      <c r="S49" s="199">
        <f>SUM(G49:I49)</f>
        <v>0</v>
      </c>
      <c r="T49" s="22"/>
      <c r="V49" s="29"/>
      <c r="W49" s="10" t="s">
        <v>860</v>
      </c>
      <c r="X49" s="39"/>
      <c r="Y49" s="39"/>
      <c r="Z49" s="39"/>
      <c r="AA49" s="17"/>
      <c r="AB49" s="17"/>
      <c r="AC49" s="17"/>
      <c r="AD49" s="17"/>
      <c r="AE49" s="17"/>
      <c r="AF49" s="17"/>
      <c r="AG49" s="17"/>
      <c r="AH49" s="17"/>
      <c r="AI49" s="17"/>
      <c r="AJ49" s="32">
        <f>SUM(X49:AI49)</f>
        <v>0</v>
      </c>
      <c r="BA49" s="10"/>
    </row>
    <row r="50" spans="5:53">
      <c r="F50" s="16" t="s">
        <v>861</v>
      </c>
      <c r="G50" s="342"/>
      <c r="H50" s="342"/>
      <c r="I50" s="342"/>
      <c r="J50" s="17"/>
      <c r="K50" s="17"/>
      <c r="L50" s="17"/>
      <c r="M50" s="17"/>
      <c r="N50" s="17"/>
      <c r="O50" s="17"/>
      <c r="P50" s="17"/>
      <c r="Q50" s="17"/>
      <c r="R50" s="17"/>
      <c r="S50" s="17" t="e">
        <f>S49/S47</f>
        <v>#DIV/0!</v>
      </c>
      <c r="T50" s="22"/>
      <c r="V50" s="29"/>
      <c r="W50" s="16" t="s">
        <v>861</v>
      </c>
      <c r="X50" s="342"/>
      <c r="Y50" s="342"/>
      <c r="Z50" s="342"/>
      <c r="AA50" s="17"/>
      <c r="AB50" s="17"/>
      <c r="AC50" s="17"/>
      <c r="AD50" s="17"/>
      <c r="AE50" s="17"/>
      <c r="AF50" s="17"/>
      <c r="AG50" s="17"/>
      <c r="AH50" s="17"/>
      <c r="AI50" s="17"/>
      <c r="AJ50" s="16" t="e">
        <f>AJ49/AJ47</f>
        <v>#DIV/0!</v>
      </c>
      <c r="BA50" s="10"/>
    </row>
    <row r="51" spans="5:53" s="22" customFormat="1">
      <c r="E51" s="370"/>
      <c r="F51" s="22" t="s">
        <v>849</v>
      </c>
      <c r="G51" s="22">
        <f t="shared" ref="G51:R51" si="55">G52*G1</f>
        <v>77500</v>
      </c>
      <c r="H51" s="22">
        <f t="shared" si="55"/>
        <v>77500</v>
      </c>
      <c r="I51" s="22">
        <f t="shared" si="55"/>
        <v>75000</v>
      </c>
      <c r="J51" s="22">
        <f t="shared" si="55"/>
        <v>77500</v>
      </c>
      <c r="K51" s="22">
        <f t="shared" si="55"/>
        <v>225000</v>
      </c>
      <c r="L51" s="22">
        <f t="shared" si="55"/>
        <v>310000</v>
      </c>
      <c r="M51" s="22">
        <f t="shared" si="55"/>
        <v>310000</v>
      </c>
      <c r="N51" s="22">
        <f t="shared" si="55"/>
        <v>280000</v>
      </c>
      <c r="O51" s="22">
        <f t="shared" si="55"/>
        <v>310000</v>
      </c>
      <c r="P51" s="22">
        <f t="shared" si="55"/>
        <v>225000</v>
      </c>
      <c r="Q51" s="22">
        <f t="shared" si="55"/>
        <v>232500</v>
      </c>
      <c r="R51" s="22">
        <f t="shared" si="55"/>
        <v>225000</v>
      </c>
      <c r="S51" s="131">
        <f>SUM(G51:R51)</f>
        <v>2425000</v>
      </c>
      <c r="W51" s="22" t="s">
        <v>849</v>
      </c>
      <c r="X51" s="22">
        <f t="shared" ref="X51:AF51" si="56">X52*X1</f>
        <v>232500</v>
      </c>
      <c r="Y51" s="22">
        <f t="shared" si="56"/>
        <v>232500</v>
      </c>
      <c r="Z51" s="22">
        <f t="shared" si="56"/>
        <v>225000</v>
      </c>
      <c r="AA51" s="22">
        <f t="shared" si="56"/>
        <v>232500</v>
      </c>
      <c r="AB51" s="22">
        <f t="shared" si="56"/>
        <v>150000</v>
      </c>
      <c r="AC51" s="22">
        <f t="shared" si="56"/>
        <v>155000</v>
      </c>
      <c r="AD51" s="22">
        <f t="shared" si="56"/>
        <v>155000</v>
      </c>
      <c r="AE51" s="22">
        <f t="shared" si="56"/>
        <v>145000</v>
      </c>
      <c r="AF51" s="22">
        <f t="shared" si="56"/>
        <v>155000</v>
      </c>
      <c r="AG51" s="28"/>
      <c r="AH51" s="28"/>
      <c r="AI51" s="28"/>
      <c r="AJ51" s="22">
        <f>SUM(X51:AI51)</f>
        <v>1682500</v>
      </c>
      <c r="BA51" s="59"/>
    </row>
    <row r="52" spans="5:53" s="22" customFormat="1">
      <c r="E52" s="370"/>
      <c r="F52" s="22" t="s">
        <v>850</v>
      </c>
      <c r="G52" s="132">
        <v>2500</v>
      </c>
      <c r="H52" s="132">
        <v>2500</v>
      </c>
      <c r="I52" s="132">
        <v>2500</v>
      </c>
      <c r="J52" s="132">
        <v>2500</v>
      </c>
      <c r="K52" s="132">
        <v>7500</v>
      </c>
      <c r="L52" s="132">
        <v>10000</v>
      </c>
      <c r="M52" s="132">
        <v>10000</v>
      </c>
      <c r="N52" s="132">
        <v>10000</v>
      </c>
      <c r="O52" s="132">
        <v>10000</v>
      </c>
      <c r="P52" s="132">
        <v>7500</v>
      </c>
      <c r="Q52" s="132">
        <v>7500</v>
      </c>
      <c r="R52" s="132">
        <v>7500</v>
      </c>
      <c r="S52" s="28">
        <f>S51/SUM(G1:R1)</f>
        <v>6643.8356164383558</v>
      </c>
      <c r="W52" s="22" t="s">
        <v>850</v>
      </c>
      <c r="X52" s="132">
        <v>7500</v>
      </c>
      <c r="Y52" s="132">
        <v>7500</v>
      </c>
      <c r="Z52" s="132">
        <v>7500</v>
      </c>
      <c r="AA52" s="132">
        <v>7500</v>
      </c>
      <c r="AB52" s="132">
        <v>5000</v>
      </c>
      <c r="AC52" s="132">
        <v>5000</v>
      </c>
      <c r="AD52" s="132">
        <v>5000</v>
      </c>
      <c r="AE52" s="132">
        <v>5000</v>
      </c>
      <c r="AF52" s="132">
        <v>5000</v>
      </c>
      <c r="AG52" s="28"/>
      <c r="AH52" s="28"/>
      <c r="AI52" s="28"/>
      <c r="AJ52" s="22">
        <f>AJ51/SUM(X1:AF1)</f>
        <v>6118.181818181818</v>
      </c>
      <c r="BA52" s="59"/>
    </row>
    <row r="53" spans="5:53" s="16" customFormat="1">
      <c r="E53" s="370"/>
      <c r="F53" s="10" t="s">
        <v>851</v>
      </c>
      <c r="G53" s="32">
        <f t="shared" ref="G53:R53" si="57">G51*G54</f>
        <v>365567.5</v>
      </c>
      <c r="H53" s="32">
        <f t="shared" si="57"/>
        <v>369985</v>
      </c>
      <c r="I53" s="32">
        <f t="shared" si="57"/>
        <v>281250</v>
      </c>
      <c r="J53" s="32">
        <f t="shared" si="57"/>
        <v>297367.5</v>
      </c>
      <c r="K53" s="32">
        <f t="shared" si="57"/>
        <v>1050750</v>
      </c>
      <c r="L53" s="32">
        <f t="shared" si="57"/>
        <v>1357800</v>
      </c>
      <c r="M53" s="32">
        <f t="shared" si="57"/>
        <v>1357800</v>
      </c>
      <c r="N53" s="32">
        <f t="shared" si="57"/>
        <v>1226400</v>
      </c>
      <c r="O53" s="32">
        <f t="shared" si="57"/>
        <v>1357800</v>
      </c>
      <c r="P53" s="32">
        <f t="shared" si="57"/>
        <v>954000</v>
      </c>
      <c r="Q53" s="32">
        <f t="shared" si="57"/>
        <v>1017652.5</v>
      </c>
      <c r="R53" s="32">
        <f t="shared" si="57"/>
        <v>973349.99999999988</v>
      </c>
      <c r="S53" s="199">
        <f>SUM(G53:R53)</f>
        <v>10609722.5</v>
      </c>
      <c r="W53" s="10" t="s">
        <v>851</v>
      </c>
      <c r="X53" s="32">
        <f t="shared" ref="X53:AF53" si="58">X51*X54</f>
        <v>1013002.5</v>
      </c>
      <c r="Y53" s="32">
        <f t="shared" si="58"/>
        <v>1016025</v>
      </c>
      <c r="Z53" s="32">
        <f t="shared" si="58"/>
        <v>898650</v>
      </c>
      <c r="AA53" s="32">
        <f t="shared" si="58"/>
        <v>933487.49999999988</v>
      </c>
      <c r="AB53" s="32">
        <f t="shared" si="58"/>
        <v>625050</v>
      </c>
      <c r="AC53" s="32">
        <f t="shared" si="58"/>
        <v>680140</v>
      </c>
      <c r="AD53" s="32">
        <f t="shared" si="58"/>
        <v>695175</v>
      </c>
      <c r="AE53" s="32">
        <f t="shared" si="58"/>
        <v>650470</v>
      </c>
      <c r="AF53" s="32">
        <f t="shared" si="58"/>
        <v>690990</v>
      </c>
      <c r="AG53" s="17"/>
      <c r="AH53" s="17"/>
      <c r="AI53" s="17"/>
      <c r="AJ53" s="43">
        <f>SUM(X53:AF53)</f>
        <v>7202990</v>
      </c>
      <c r="BA53" s="34"/>
    </row>
    <row r="54" spans="5:53" s="16" customFormat="1">
      <c r="E54" s="370"/>
      <c r="F54" s="16" t="s">
        <v>852</v>
      </c>
      <c r="G54" s="316">
        <f>IF(G109&lt;3.75,3.75,IF(G109&lt;5,G109,5))</f>
        <v>4.7169999999999996</v>
      </c>
      <c r="H54" s="316">
        <f>IF(H109&lt;3.75,3.75,IF(H109&lt;5,H109,5))</f>
        <v>4.774</v>
      </c>
      <c r="I54" s="316">
        <f>IF(I109&lt;3.75,3.75,IF(I109&lt;5,I109,5))</f>
        <v>3.75</v>
      </c>
      <c r="J54" s="316">
        <f>IF(J109&lt;3.75,3.75,IF(J109&lt;5,J109,5))</f>
        <v>3.8370000000000002</v>
      </c>
      <c r="K54" s="316">
        <f>IF(K109&lt;4.67,4.67,IF(K109&lt;6.08,K109,6.08))</f>
        <v>4.67</v>
      </c>
      <c r="L54" s="316">
        <f>IF(L109&lt;4.38,4.38,IF(L109&lt;5.81,L109,5.81))</f>
        <v>4.38</v>
      </c>
      <c r="M54" s="316">
        <f>IF(M109&lt;4.38,4.38,IF(M109&lt;5.81,M109,5.81))</f>
        <v>4.38</v>
      </c>
      <c r="N54" s="316">
        <f>IF(N109&lt;4.38,4.38,IF(N109&lt;5.81,N109,5.81))</f>
        <v>4.38</v>
      </c>
      <c r="O54" s="316">
        <f>IF(O109&lt;4.38,4.38,IF(O109&lt;5.81,O109,5.81))</f>
        <v>4.38</v>
      </c>
      <c r="P54" s="316">
        <f>IF(P109&lt;3.55,3.55,IF(P109&lt;5.17,P109,5.17))</f>
        <v>4.24</v>
      </c>
      <c r="Q54" s="316">
        <f>IF(Q109&lt;3.55,3.55,IF(Q109&lt;5.17,Q109,5.17))</f>
        <v>4.3769999999999998</v>
      </c>
      <c r="R54" s="316">
        <f>IF(R109&lt;3.55,3.55,IF(R109&lt;5.17,R109,5.17))</f>
        <v>4.3259999999999996</v>
      </c>
      <c r="S54" s="17">
        <f>S53/S51</f>
        <v>4.3751432989690722</v>
      </c>
      <c r="W54" s="16" t="s">
        <v>852</v>
      </c>
      <c r="X54" s="316">
        <f>IF(X109&lt;3.55,3.55,IF(X109&lt;5.17,X109,5.17))</f>
        <v>4.3570000000000002</v>
      </c>
      <c r="Y54" s="316">
        <f>IF(Y109&lt;3.55,3.55,IF(Y109&lt;5.17,Y109,5.17))</f>
        <v>4.37</v>
      </c>
      <c r="Z54" s="316">
        <f>IF(Z109&lt;3.55,3.55,IF(Z109&lt;5.17,Z109,5.17))</f>
        <v>3.9940000000000002</v>
      </c>
      <c r="AA54" s="316">
        <f>IF(AA109&lt;3.55,3.55,IF(AA109&lt;5.17,AA109,5.17))</f>
        <v>4.0149999999999997</v>
      </c>
      <c r="AB54" s="316">
        <f>IF(AB109&lt;4.05,4.05,IF(AB109&lt;6.25,AB109,6.25))</f>
        <v>4.1669999999999998</v>
      </c>
      <c r="AC54" s="316">
        <f>IF(AC109&lt;4.05,4.05,IF(AC109&lt;6.25,AC109,6.25))</f>
        <v>4.3879999999999999</v>
      </c>
      <c r="AD54" s="316">
        <f>IF(AD109&lt;4.05,4.05,IF(AD109&lt;6.25,AD109,6.25))</f>
        <v>4.4850000000000003</v>
      </c>
      <c r="AE54" s="316">
        <f>IF(AE109&lt;4.05,4.05,IF(AE109&lt;6.25,AE109,6.25))</f>
        <v>4.4859999999999998</v>
      </c>
      <c r="AF54" s="316">
        <f>IF(AF109&lt;4.05,4.05,IF(AF109&lt;6.25,AF109,6.25))</f>
        <v>4.4580000000000002</v>
      </c>
      <c r="AG54" s="17"/>
      <c r="AH54" s="17"/>
      <c r="AI54" s="17"/>
      <c r="AJ54" s="34">
        <f>AJ53/AJ51</f>
        <v>4.281123328380386</v>
      </c>
      <c r="BA54" s="34"/>
    </row>
    <row r="55" spans="5:53" s="16" customFormat="1">
      <c r="E55" s="370"/>
      <c r="F55" s="10" t="s">
        <v>853</v>
      </c>
      <c r="S55" s="131">
        <f>SUM(G55:R55)</f>
        <v>0</v>
      </c>
      <c r="T55" s="124"/>
      <c r="W55" s="10" t="s">
        <v>791</v>
      </c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34"/>
      <c r="BA55" s="34"/>
    </row>
    <row r="56" spans="5:53" s="16" customFormat="1">
      <c r="E56" s="370"/>
      <c r="F56" s="10" t="s">
        <v>854</v>
      </c>
      <c r="S56" s="28">
        <f>S55/SUM(H1:I1)</f>
        <v>0</v>
      </c>
      <c r="W56" s="10" t="s">
        <v>792</v>
      </c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34"/>
      <c r="BA56" s="34"/>
    </row>
    <row r="57" spans="5:53" s="16" customFormat="1">
      <c r="E57" s="370"/>
      <c r="F57" s="10" t="s">
        <v>855</v>
      </c>
      <c r="S57" s="199">
        <f>SUM(G57:R57)</f>
        <v>0</v>
      </c>
      <c r="W57" s="10" t="s">
        <v>793</v>
      </c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34"/>
      <c r="BA57" s="34"/>
    </row>
    <row r="58" spans="5:53" s="16" customFormat="1">
      <c r="E58" s="370"/>
      <c r="F58" s="16" t="s">
        <v>856</v>
      </c>
      <c r="S58" s="197"/>
      <c r="W58" s="16" t="s">
        <v>794</v>
      </c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34"/>
      <c r="BA58" s="34"/>
    </row>
    <row r="59" spans="5:53">
      <c r="F59" s="10" t="s">
        <v>795</v>
      </c>
      <c r="G59" s="22">
        <f t="shared" ref="G59:P59" si="59">G60*G1</f>
        <v>31000</v>
      </c>
      <c r="H59" s="22">
        <f t="shared" si="59"/>
        <v>31000</v>
      </c>
      <c r="I59" s="22">
        <f t="shared" si="59"/>
        <v>30000</v>
      </c>
      <c r="J59" s="22">
        <f t="shared" si="59"/>
        <v>31000</v>
      </c>
      <c r="K59" s="22">
        <f t="shared" si="59"/>
        <v>75000</v>
      </c>
      <c r="L59" s="22">
        <f t="shared" si="59"/>
        <v>77500</v>
      </c>
      <c r="M59" s="22">
        <f t="shared" si="59"/>
        <v>77500</v>
      </c>
      <c r="N59" s="22">
        <f t="shared" si="59"/>
        <v>70000</v>
      </c>
      <c r="O59" s="22">
        <f t="shared" si="59"/>
        <v>77500</v>
      </c>
      <c r="P59" s="22">
        <f t="shared" si="59"/>
        <v>0</v>
      </c>
      <c r="Q59" s="22"/>
      <c r="R59" s="22"/>
      <c r="S59" s="131">
        <f>SUM(G59:R59)</f>
        <v>500500</v>
      </c>
      <c r="T59" s="124"/>
      <c r="W59" s="10" t="s">
        <v>795</v>
      </c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8"/>
      <c r="AI59" s="28"/>
      <c r="AJ59" s="22">
        <f>SUM(X59:AI59)</f>
        <v>0</v>
      </c>
      <c r="AN59" s="11" t="s">
        <v>90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59">
        <f>SUM(AO59:AZ59)</f>
        <v>0</v>
      </c>
    </row>
    <row r="60" spans="5:53">
      <c r="F60" s="10" t="s">
        <v>796</v>
      </c>
      <c r="G60" s="132">
        <v>1000</v>
      </c>
      <c r="H60" s="132">
        <v>1000</v>
      </c>
      <c r="I60" s="132">
        <v>1000</v>
      </c>
      <c r="J60" s="132">
        <v>1000</v>
      </c>
      <c r="K60" s="132">
        <v>2500</v>
      </c>
      <c r="L60" s="132">
        <v>2500</v>
      </c>
      <c r="M60" s="132">
        <v>2500</v>
      </c>
      <c r="N60" s="132">
        <v>2500</v>
      </c>
      <c r="O60" s="132">
        <v>2500</v>
      </c>
      <c r="P60" s="132"/>
      <c r="Q60" s="132"/>
      <c r="R60" s="132"/>
      <c r="S60" s="28">
        <f>S59/SUM(G1:O1)</f>
        <v>1826.6423357664235</v>
      </c>
      <c r="W60" s="10" t="s">
        <v>796</v>
      </c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2">
        <f>AJ59/SUM(X1:AA1)</f>
        <v>0</v>
      </c>
      <c r="AN60" s="10" t="s">
        <v>96</v>
      </c>
      <c r="AO60" s="22" t="e">
        <f t="shared" ref="AO60:BA60" si="60">AO59/AO13</f>
        <v>#DIV/0!</v>
      </c>
      <c r="AP60" s="22" t="e">
        <f t="shared" si="60"/>
        <v>#DIV/0!</v>
      </c>
      <c r="AQ60" s="22" t="e">
        <f t="shared" si="60"/>
        <v>#DIV/0!</v>
      </c>
      <c r="AR60" s="22">
        <f t="shared" si="60"/>
        <v>0</v>
      </c>
      <c r="AS60" s="22">
        <f t="shared" si="60"/>
        <v>0</v>
      </c>
      <c r="AT60" s="22" t="e">
        <f t="shared" si="60"/>
        <v>#DIV/0!</v>
      </c>
      <c r="AU60" s="22">
        <f t="shared" si="60"/>
        <v>0</v>
      </c>
      <c r="AV60" s="22">
        <f t="shared" si="60"/>
        <v>0</v>
      </c>
      <c r="AW60" s="22">
        <f t="shared" si="60"/>
        <v>0</v>
      </c>
      <c r="AX60" s="22">
        <f t="shared" si="60"/>
        <v>0</v>
      </c>
      <c r="AY60" s="22" t="e">
        <f t="shared" si="60"/>
        <v>#DIV/0!</v>
      </c>
      <c r="AZ60" s="22">
        <f t="shared" si="60"/>
        <v>0</v>
      </c>
      <c r="BA60" s="22">
        <f t="shared" si="60"/>
        <v>0</v>
      </c>
    </row>
    <row r="61" spans="5:53">
      <c r="F61" s="10" t="s">
        <v>797</v>
      </c>
      <c r="G61" s="32">
        <f t="shared" ref="G61:R61" si="61">G59*G62</f>
        <v>181350</v>
      </c>
      <c r="H61" s="32">
        <f t="shared" si="61"/>
        <v>181350</v>
      </c>
      <c r="I61" s="32">
        <f t="shared" si="61"/>
        <v>175500</v>
      </c>
      <c r="J61" s="32">
        <f t="shared" si="61"/>
        <v>181350</v>
      </c>
      <c r="K61" s="32">
        <f t="shared" si="61"/>
        <v>300000</v>
      </c>
      <c r="L61" s="32">
        <f t="shared" si="61"/>
        <v>310000</v>
      </c>
      <c r="M61" s="32">
        <f t="shared" si="61"/>
        <v>310000</v>
      </c>
      <c r="N61" s="32">
        <f t="shared" si="61"/>
        <v>280000</v>
      </c>
      <c r="O61" s="32">
        <f t="shared" si="61"/>
        <v>310000</v>
      </c>
      <c r="P61" s="32">
        <f t="shared" si="61"/>
        <v>0</v>
      </c>
      <c r="Q61" s="32">
        <f t="shared" si="61"/>
        <v>0</v>
      </c>
      <c r="R61" s="32">
        <f t="shared" si="61"/>
        <v>0</v>
      </c>
      <c r="S61" s="199">
        <f>SUM(G61:R61)</f>
        <v>2229550</v>
      </c>
      <c r="W61" s="10" t="s">
        <v>797</v>
      </c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56"/>
      <c r="AI61" s="356"/>
      <c r="AJ61" s="43">
        <f>SUM(X61:AI61)</f>
        <v>0</v>
      </c>
      <c r="AN61" s="11" t="s">
        <v>88</v>
      </c>
      <c r="AO61" s="112"/>
      <c r="AP61" s="112"/>
      <c r="AQ61" s="112"/>
      <c r="AR61" s="112"/>
      <c r="AS61" s="112"/>
      <c r="AT61" s="112"/>
      <c r="AU61" s="112"/>
      <c r="AV61" s="112"/>
      <c r="AW61" s="112"/>
      <c r="AX61" s="112"/>
      <c r="AY61" s="112"/>
      <c r="AZ61" s="112"/>
      <c r="BA61" s="43">
        <f>SUM(AO61:AZ61)</f>
        <v>0</v>
      </c>
    </row>
    <row r="62" spans="5:53" s="16" customFormat="1">
      <c r="E62" s="370"/>
      <c r="F62" s="16" t="s">
        <v>798</v>
      </c>
      <c r="G62" s="316">
        <v>5.85</v>
      </c>
      <c r="H62" s="146">
        <v>5.85</v>
      </c>
      <c r="I62" s="146">
        <v>5.85</v>
      </c>
      <c r="J62" s="146">
        <v>5.85</v>
      </c>
      <c r="K62" s="146">
        <v>4</v>
      </c>
      <c r="L62" s="146">
        <v>4</v>
      </c>
      <c r="M62" s="146">
        <v>4</v>
      </c>
      <c r="N62" s="146">
        <v>4</v>
      </c>
      <c r="O62" s="146">
        <v>4</v>
      </c>
      <c r="P62" s="146"/>
      <c r="Q62" s="146"/>
      <c r="R62" s="146"/>
      <c r="S62" s="197">
        <f>S61/S59</f>
        <v>4.454645354645355</v>
      </c>
      <c r="W62" s="16" t="s">
        <v>798</v>
      </c>
      <c r="X62" s="433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34" t="e">
        <f>AJ61/AJ59</f>
        <v>#DIV/0!</v>
      </c>
      <c r="AN62" s="16" t="s">
        <v>89</v>
      </c>
      <c r="AO62" s="16" t="e">
        <f t="shared" ref="AO62:BA62" si="62">AO61/AO59</f>
        <v>#DIV/0!</v>
      </c>
      <c r="AP62" s="16" t="e">
        <f t="shared" si="62"/>
        <v>#DIV/0!</v>
      </c>
      <c r="AQ62" s="16" t="e">
        <f t="shared" si="62"/>
        <v>#DIV/0!</v>
      </c>
      <c r="AR62" s="16" t="e">
        <f t="shared" si="62"/>
        <v>#DIV/0!</v>
      </c>
      <c r="AS62" s="16" t="e">
        <f t="shared" si="62"/>
        <v>#DIV/0!</v>
      </c>
      <c r="AT62" s="16" t="e">
        <f t="shared" si="62"/>
        <v>#DIV/0!</v>
      </c>
      <c r="AU62" s="16" t="e">
        <f t="shared" si="62"/>
        <v>#DIV/0!</v>
      </c>
      <c r="AV62" s="16" t="e">
        <f t="shared" si="62"/>
        <v>#DIV/0!</v>
      </c>
      <c r="AW62" s="16" t="e">
        <f t="shared" si="62"/>
        <v>#DIV/0!</v>
      </c>
      <c r="AX62" s="16" t="e">
        <f t="shared" si="62"/>
        <v>#DIV/0!</v>
      </c>
      <c r="AY62" s="16" t="e">
        <f t="shared" si="62"/>
        <v>#DIV/0!</v>
      </c>
      <c r="AZ62" s="16" t="e">
        <f t="shared" si="62"/>
        <v>#DIV/0!</v>
      </c>
      <c r="BA62" s="34" t="e">
        <f t="shared" si="62"/>
        <v>#DIV/0!</v>
      </c>
    </row>
    <row r="63" spans="5:53">
      <c r="F63" s="10" t="s">
        <v>799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131">
        <f>SUM(G63:R63)</f>
        <v>0</v>
      </c>
      <c r="T63" s="124"/>
      <c r="W63" s="10" t="s">
        <v>799</v>
      </c>
      <c r="X63" s="22"/>
      <c r="Y63" s="22"/>
      <c r="Z63" s="22"/>
      <c r="AA63" s="22"/>
      <c r="AB63" s="28"/>
      <c r="AC63" s="28"/>
      <c r="AD63" s="28"/>
      <c r="AE63" s="28"/>
      <c r="AF63" s="28"/>
      <c r="AG63" s="28"/>
      <c r="AH63" s="28"/>
      <c r="AI63" s="28"/>
      <c r="AJ63" s="59">
        <f>SUM(X63:AI63)</f>
        <v>0</v>
      </c>
      <c r="AN63" s="11" t="s">
        <v>90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59">
        <f>SUM(AO63:AZ63)</f>
        <v>0</v>
      </c>
    </row>
    <row r="64" spans="5:53">
      <c r="F64" s="10" t="s">
        <v>800</v>
      </c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8">
        <f>S63/SUM(H1:I1)</f>
        <v>0</v>
      </c>
      <c r="W64" s="10" t="s">
        <v>800</v>
      </c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2"/>
      <c r="AN64" s="10" t="s">
        <v>96</v>
      </c>
      <c r="AO64" s="22" t="e">
        <f t="shared" ref="AO64:BA64" si="63">AO63/AO17</f>
        <v>#DIV/0!</v>
      </c>
      <c r="AP64" s="22" t="e">
        <f t="shared" si="63"/>
        <v>#DIV/0!</v>
      </c>
      <c r="AQ64" s="22" t="e">
        <f t="shared" si="63"/>
        <v>#DIV/0!</v>
      </c>
      <c r="AR64" s="22" t="e">
        <f t="shared" si="63"/>
        <v>#DIV/0!</v>
      </c>
      <c r="AS64" s="22" t="e">
        <f t="shared" si="63"/>
        <v>#DIV/0!</v>
      </c>
      <c r="AT64" s="22" t="e">
        <f t="shared" si="63"/>
        <v>#DIV/0!</v>
      </c>
      <c r="AU64" s="22" t="e">
        <f t="shared" si="63"/>
        <v>#DIV/0!</v>
      </c>
      <c r="AV64" s="22" t="e">
        <f t="shared" si="63"/>
        <v>#DIV/0!</v>
      </c>
      <c r="AW64" s="22" t="e">
        <f t="shared" si="63"/>
        <v>#DIV/0!</v>
      </c>
      <c r="AX64" s="22" t="e">
        <f t="shared" si="63"/>
        <v>#DIV/0!</v>
      </c>
      <c r="AY64" s="22" t="e">
        <f t="shared" si="63"/>
        <v>#DIV/0!</v>
      </c>
      <c r="AZ64" s="22" t="e">
        <f t="shared" si="63"/>
        <v>#DIV/0!</v>
      </c>
      <c r="BA64" s="22" t="e">
        <f t="shared" si="63"/>
        <v>#DIV/0!</v>
      </c>
    </row>
    <row r="65" spans="5:53">
      <c r="F65" s="10" t="s">
        <v>801</v>
      </c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99">
        <f>SUM(G65:R65)</f>
        <v>0</v>
      </c>
      <c r="W65" s="10" t="s">
        <v>801</v>
      </c>
      <c r="X65" s="356"/>
      <c r="Y65" s="356"/>
      <c r="Z65" s="356"/>
      <c r="AA65" s="356"/>
      <c r="AB65" s="356"/>
      <c r="AC65" s="356"/>
      <c r="AD65" s="356"/>
      <c r="AE65" s="356"/>
      <c r="AF65" s="356"/>
      <c r="AG65" s="356"/>
      <c r="AH65" s="356"/>
      <c r="AI65" s="356"/>
      <c r="AJ65" s="43">
        <f>SUM(X65:AI65)</f>
        <v>0</v>
      </c>
      <c r="AN65" s="11" t="s">
        <v>88</v>
      </c>
      <c r="AO65" s="112"/>
      <c r="AP65" s="112"/>
      <c r="AQ65" s="112"/>
      <c r="AR65" s="112"/>
      <c r="AS65" s="112"/>
      <c r="AT65" s="112"/>
      <c r="AU65" s="112"/>
      <c r="AV65" s="112"/>
      <c r="AW65" s="112"/>
      <c r="AX65" s="112"/>
      <c r="AY65" s="112"/>
      <c r="AZ65" s="112"/>
      <c r="BA65" s="43">
        <f>SUM(AO65:AZ65)</f>
        <v>0</v>
      </c>
    </row>
    <row r="66" spans="5:53" s="16" customFormat="1">
      <c r="E66" s="370"/>
      <c r="F66" s="16" t="s">
        <v>802</v>
      </c>
      <c r="S66" s="197" t="e">
        <f>S65/S63</f>
        <v>#DIV/0!</v>
      </c>
      <c r="W66" s="16" t="s">
        <v>802</v>
      </c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34"/>
      <c r="AN66" s="16" t="s">
        <v>89</v>
      </c>
      <c r="AO66" s="16" t="e">
        <f t="shared" ref="AO66:BA66" si="64">AO65/AO63</f>
        <v>#DIV/0!</v>
      </c>
      <c r="AP66" s="16" t="e">
        <f t="shared" si="64"/>
        <v>#DIV/0!</v>
      </c>
      <c r="AQ66" s="16" t="e">
        <f t="shared" si="64"/>
        <v>#DIV/0!</v>
      </c>
      <c r="AR66" s="16" t="e">
        <f t="shared" si="64"/>
        <v>#DIV/0!</v>
      </c>
      <c r="AS66" s="16" t="e">
        <f t="shared" si="64"/>
        <v>#DIV/0!</v>
      </c>
      <c r="AT66" s="16" t="e">
        <f t="shared" si="64"/>
        <v>#DIV/0!</v>
      </c>
      <c r="AU66" s="16" t="e">
        <f t="shared" si="64"/>
        <v>#DIV/0!</v>
      </c>
      <c r="AV66" s="16" t="e">
        <f t="shared" si="64"/>
        <v>#DIV/0!</v>
      </c>
      <c r="AW66" s="16" t="e">
        <f t="shared" si="64"/>
        <v>#DIV/0!</v>
      </c>
      <c r="AX66" s="16" t="e">
        <f t="shared" si="64"/>
        <v>#DIV/0!</v>
      </c>
      <c r="AY66" s="16" t="e">
        <f t="shared" si="64"/>
        <v>#DIV/0!</v>
      </c>
      <c r="AZ66" s="16" t="e">
        <f t="shared" si="64"/>
        <v>#DIV/0!</v>
      </c>
      <c r="BA66" s="34" t="e">
        <f t="shared" si="64"/>
        <v>#DIV/0!</v>
      </c>
    </row>
    <row r="67" spans="5:53" s="16" customFormat="1">
      <c r="E67" s="370"/>
      <c r="F67" s="10" t="s">
        <v>803</v>
      </c>
      <c r="K67" s="22">
        <f>K1*K68</f>
        <v>135000</v>
      </c>
      <c r="L67" s="22">
        <f>L1*L68</f>
        <v>170500</v>
      </c>
      <c r="M67" s="22">
        <f>M1*M68</f>
        <v>170500</v>
      </c>
      <c r="N67" s="22">
        <f>N1*N68</f>
        <v>154000</v>
      </c>
      <c r="O67" s="22">
        <f>O1*O68</f>
        <v>139500</v>
      </c>
      <c r="Q67" s="22">
        <f>Q1*Q68</f>
        <v>77500</v>
      </c>
      <c r="R67" s="22">
        <f>R1*R68</f>
        <v>75000</v>
      </c>
      <c r="S67" s="131">
        <f>SUM(G67:R67)</f>
        <v>922000</v>
      </c>
      <c r="W67" s="10" t="s">
        <v>803</v>
      </c>
      <c r="X67" s="22">
        <f>X68*X1</f>
        <v>77500</v>
      </c>
      <c r="Y67" s="22">
        <f t="shared" ref="Y67:AG67" si="65">Y68*Y1</f>
        <v>77500</v>
      </c>
      <c r="Z67" s="22">
        <f t="shared" si="65"/>
        <v>75000</v>
      </c>
      <c r="AA67" s="22">
        <f t="shared" si="65"/>
        <v>77500</v>
      </c>
      <c r="AB67" s="22">
        <f t="shared" si="65"/>
        <v>90000</v>
      </c>
      <c r="AC67" s="22">
        <f t="shared" si="65"/>
        <v>108500</v>
      </c>
      <c r="AD67" s="22">
        <f t="shared" si="65"/>
        <v>108500</v>
      </c>
      <c r="AE67" s="22">
        <f t="shared" si="65"/>
        <v>101500</v>
      </c>
      <c r="AF67" s="22">
        <f t="shared" si="65"/>
        <v>93000</v>
      </c>
      <c r="AG67" s="22">
        <f t="shared" si="65"/>
        <v>75000</v>
      </c>
      <c r="AH67" s="17"/>
      <c r="AI67" s="17"/>
      <c r="AJ67" s="131">
        <f>SUM(X67:AI67)</f>
        <v>884000</v>
      </c>
      <c r="BA67" s="34"/>
    </row>
    <row r="68" spans="5:53" s="16" customFormat="1">
      <c r="E68" s="370"/>
      <c r="F68" s="10" t="s">
        <v>804</v>
      </c>
      <c r="K68" s="132">
        <v>4500</v>
      </c>
      <c r="L68" s="132">
        <v>5500</v>
      </c>
      <c r="M68" s="132">
        <v>5500</v>
      </c>
      <c r="N68" s="132">
        <v>5500</v>
      </c>
      <c r="O68" s="132">
        <v>4500</v>
      </c>
      <c r="Q68" s="132">
        <v>2500</v>
      </c>
      <c r="R68" s="132">
        <v>2500</v>
      </c>
      <c r="S68" s="28">
        <f>S67/SUM(K1:O1,Q1:R1)</f>
        <v>4349.0566037735853</v>
      </c>
      <c r="W68" s="10" t="s">
        <v>804</v>
      </c>
      <c r="X68" s="132">
        <v>2500</v>
      </c>
      <c r="Y68" s="132">
        <v>2500</v>
      </c>
      <c r="Z68" s="132">
        <v>2500</v>
      </c>
      <c r="AA68" s="132">
        <v>2500</v>
      </c>
      <c r="AB68" s="132">
        <v>3000</v>
      </c>
      <c r="AC68" s="132">
        <v>3500</v>
      </c>
      <c r="AD68" s="132">
        <v>3500</v>
      </c>
      <c r="AE68" s="132">
        <v>3500</v>
      </c>
      <c r="AF68" s="132">
        <v>3000</v>
      </c>
      <c r="AG68" s="132">
        <v>2500</v>
      </c>
      <c r="AH68" s="17"/>
      <c r="AI68" s="17"/>
      <c r="AJ68" s="28">
        <f>AJ67/SUM(X1:AG1)</f>
        <v>2898.3606557377047</v>
      </c>
      <c r="BA68" s="34"/>
    </row>
    <row r="69" spans="5:53" s="16" customFormat="1">
      <c r="E69" s="370"/>
      <c r="F69" s="10" t="s">
        <v>805</v>
      </c>
      <c r="K69" s="32">
        <f>K67*K70</f>
        <v>565650</v>
      </c>
      <c r="L69" s="32">
        <f>L67*L70</f>
        <v>714395.00000000012</v>
      </c>
      <c r="M69" s="32">
        <f>M67*M70</f>
        <v>714395.00000000012</v>
      </c>
      <c r="N69" s="32">
        <f>N67*N70</f>
        <v>645260.00000000012</v>
      </c>
      <c r="O69" s="32">
        <f>O67*O70</f>
        <v>584505</v>
      </c>
      <c r="Q69" s="32">
        <f>Q67*Q70</f>
        <v>364250</v>
      </c>
      <c r="R69" s="32">
        <f>R67*R70</f>
        <v>352500</v>
      </c>
      <c r="S69" s="199">
        <f>SUM(G69:R69)</f>
        <v>3940955</v>
      </c>
      <c r="W69" s="10" t="s">
        <v>805</v>
      </c>
      <c r="X69" s="32">
        <f t="shared" ref="X69:AG69" si="66">X67*X70</f>
        <v>364250</v>
      </c>
      <c r="Y69" s="32">
        <f t="shared" si="66"/>
        <v>364250</v>
      </c>
      <c r="Z69" s="32">
        <f t="shared" si="66"/>
        <v>352500</v>
      </c>
      <c r="AA69" s="32">
        <f t="shared" si="66"/>
        <v>364250</v>
      </c>
      <c r="AB69" s="32">
        <f t="shared" si="66"/>
        <v>423000</v>
      </c>
      <c r="AC69" s="32">
        <f t="shared" si="66"/>
        <v>509950</v>
      </c>
      <c r="AD69" s="32">
        <f t="shared" si="66"/>
        <v>509950</v>
      </c>
      <c r="AE69" s="32">
        <f t="shared" si="66"/>
        <v>477050</v>
      </c>
      <c r="AF69" s="32">
        <f t="shared" si="66"/>
        <v>437100</v>
      </c>
      <c r="AG69" s="32">
        <f t="shared" si="66"/>
        <v>352500</v>
      </c>
      <c r="AH69" s="17"/>
      <c r="AI69" s="17"/>
      <c r="AJ69" s="199">
        <f>SUM(X69:AI69)</f>
        <v>4154800</v>
      </c>
      <c r="BA69" s="34"/>
    </row>
    <row r="70" spans="5:53" s="16" customFormat="1">
      <c r="E70" s="370"/>
      <c r="F70" s="16" t="s">
        <v>806</v>
      </c>
      <c r="K70" s="146">
        <v>4.1900000000000004</v>
      </c>
      <c r="L70" s="146">
        <v>4.1900000000000004</v>
      </c>
      <c r="M70" s="146">
        <v>4.1900000000000004</v>
      </c>
      <c r="N70" s="146">
        <v>4.1900000000000004</v>
      </c>
      <c r="O70" s="146">
        <v>4.1900000000000004</v>
      </c>
      <c r="Q70" s="146">
        <v>4.7</v>
      </c>
      <c r="R70" s="146">
        <v>4.7</v>
      </c>
      <c r="S70" s="197">
        <f>S69/S67</f>
        <v>4.2743546637744032</v>
      </c>
      <c r="W70" s="16" t="s">
        <v>806</v>
      </c>
      <c r="X70" s="316">
        <v>4.7</v>
      </c>
      <c r="Y70" s="146">
        <v>4.7</v>
      </c>
      <c r="Z70" s="146">
        <v>4.7</v>
      </c>
      <c r="AA70" s="146">
        <v>4.7</v>
      </c>
      <c r="AB70" s="146">
        <v>4.7</v>
      </c>
      <c r="AC70" s="146">
        <v>4.7</v>
      </c>
      <c r="AD70" s="146">
        <v>4.7</v>
      </c>
      <c r="AE70" s="146">
        <v>4.7</v>
      </c>
      <c r="AF70" s="146">
        <v>4.7</v>
      </c>
      <c r="AG70" s="146">
        <v>4.7</v>
      </c>
      <c r="AH70" s="17"/>
      <c r="AI70" s="17"/>
      <c r="AJ70" s="197">
        <f>AJ69/AJ67</f>
        <v>4.7</v>
      </c>
      <c r="BA70" s="34"/>
    </row>
    <row r="71" spans="5:53" s="16" customFormat="1">
      <c r="E71" s="370"/>
      <c r="F71" s="10" t="s">
        <v>809</v>
      </c>
      <c r="S71" s="131">
        <f>SUM(G71:R71)</f>
        <v>0</v>
      </c>
      <c r="W71" s="10" t="s">
        <v>809</v>
      </c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34"/>
      <c r="BA71" s="34"/>
    </row>
    <row r="72" spans="5:53" s="16" customFormat="1">
      <c r="E72" s="370"/>
      <c r="F72" s="10" t="s">
        <v>810</v>
      </c>
      <c r="S72" s="28">
        <f>S71/SUM(K1:O1)</f>
        <v>0</v>
      </c>
      <c r="W72" s="10" t="s">
        <v>810</v>
      </c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34"/>
      <c r="BA72" s="34"/>
    </row>
    <row r="73" spans="5:53" s="16" customFormat="1">
      <c r="E73" s="370"/>
      <c r="F73" s="10" t="s">
        <v>811</v>
      </c>
      <c r="S73" s="199">
        <f>SUM(G73:R73)</f>
        <v>0</v>
      </c>
      <c r="W73" s="10" t="s">
        <v>811</v>
      </c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34"/>
      <c r="BA73" s="34"/>
    </row>
    <row r="74" spans="5:53" s="16" customFormat="1">
      <c r="E74" s="370"/>
      <c r="F74" s="16" t="s">
        <v>812</v>
      </c>
      <c r="S74" s="197" t="e">
        <f>S73/S71</f>
        <v>#DIV/0!</v>
      </c>
      <c r="W74" s="16" t="s">
        <v>812</v>
      </c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34"/>
      <c r="BA74" s="34"/>
    </row>
    <row r="75" spans="5:53" s="16" customFormat="1">
      <c r="E75" s="370"/>
      <c r="H75" s="299"/>
      <c r="I75" s="299"/>
      <c r="J75" s="360"/>
      <c r="K75" s="360"/>
      <c r="L75" s="360"/>
      <c r="M75" s="360"/>
      <c r="N75" s="360"/>
      <c r="O75" s="360"/>
      <c r="P75" s="360"/>
      <c r="S75" s="197"/>
      <c r="AJ75" s="34"/>
      <c r="BA75" s="34"/>
    </row>
    <row r="77" spans="5:53" s="16" customFormat="1">
      <c r="E77" s="370"/>
      <c r="F77" s="11" t="s">
        <v>841</v>
      </c>
      <c r="G77" s="22">
        <f>SUM(G48,G52,G56,G60,G64)</f>
        <v>3500</v>
      </c>
      <c r="H77" s="22">
        <f t="shared" ref="H77:R77" si="67">SUM(H48,H52,H56,H60,H64)</f>
        <v>3500</v>
      </c>
      <c r="I77" s="22">
        <f t="shared" si="67"/>
        <v>3500</v>
      </c>
      <c r="J77" s="22">
        <f t="shared" si="67"/>
        <v>3500</v>
      </c>
      <c r="K77" s="22">
        <f t="shared" si="67"/>
        <v>10000</v>
      </c>
      <c r="L77" s="22">
        <f t="shared" si="67"/>
        <v>12500</v>
      </c>
      <c r="M77" s="22">
        <f t="shared" si="67"/>
        <v>12500</v>
      </c>
      <c r="N77" s="22">
        <f t="shared" si="67"/>
        <v>12500</v>
      </c>
      <c r="O77" s="22">
        <f t="shared" si="67"/>
        <v>12500</v>
      </c>
      <c r="P77" s="22">
        <f t="shared" si="67"/>
        <v>7500</v>
      </c>
      <c r="Q77" s="22">
        <f t="shared" si="67"/>
        <v>7500</v>
      </c>
      <c r="R77" s="22">
        <f t="shared" si="67"/>
        <v>7500</v>
      </c>
      <c r="S77" s="131"/>
      <c r="W77" s="11" t="s">
        <v>841</v>
      </c>
      <c r="X77" s="22">
        <f>SUM(X52,X56,X60,X64)</f>
        <v>7500</v>
      </c>
      <c r="Y77" s="22">
        <f t="shared" ref="Y77:AI77" si="68">SUM(Y52,Y56,Y60,Y64)</f>
        <v>7500</v>
      </c>
      <c r="Z77" s="22">
        <f t="shared" si="68"/>
        <v>7500</v>
      </c>
      <c r="AA77" s="22">
        <f t="shared" si="68"/>
        <v>7500</v>
      </c>
      <c r="AB77" s="22">
        <f t="shared" si="68"/>
        <v>5000</v>
      </c>
      <c r="AC77" s="22">
        <f t="shared" si="68"/>
        <v>5000</v>
      </c>
      <c r="AD77" s="22">
        <f t="shared" si="68"/>
        <v>5000</v>
      </c>
      <c r="AE77" s="22">
        <f t="shared" si="68"/>
        <v>5000</v>
      </c>
      <c r="AF77" s="22">
        <f t="shared" si="68"/>
        <v>5000</v>
      </c>
      <c r="AG77" s="22">
        <f t="shared" si="68"/>
        <v>0</v>
      </c>
      <c r="AH77" s="22">
        <f t="shared" si="68"/>
        <v>0</v>
      </c>
      <c r="AI77" s="22">
        <f t="shared" si="68"/>
        <v>0</v>
      </c>
      <c r="AJ77" s="59"/>
      <c r="BA77" s="34"/>
    </row>
    <row r="78" spans="5:53" s="16" customFormat="1">
      <c r="E78" s="370"/>
      <c r="F78" s="11" t="s">
        <v>780</v>
      </c>
      <c r="G78" s="22">
        <v>10000</v>
      </c>
      <c r="H78" s="22">
        <v>10000</v>
      </c>
      <c r="I78" s="22">
        <v>5000</v>
      </c>
      <c r="J78" s="22">
        <v>15000</v>
      </c>
      <c r="K78" s="22">
        <v>20000</v>
      </c>
      <c r="L78" s="22">
        <v>25000</v>
      </c>
      <c r="M78" s="22">
        <v>25000</v>
      </c>
      <c r="N78" s="22">
        <v>25000</v>
      </c>
      <c r="O78" s="22">
        <v>20000</v>
      </c>
      <c r="P78" s="22">
        <v>15000</v>
      </c>
      <c r="Q78" s="22">
        <v>15000</v>
      </c>
      <c r="R78" s="22">
        <v>10000</v>
      </c>
      <c r="S78" s="131"/>
      <c r="W78" s="11" t="s">
        <v>780</v>
      </c>
      <c r="X78" s="22">
        <v>10000</v>
      </c>
      <c r="Y78" s="22">
        <v>10000</v>
      </c>
      <c r="Z78" s="22">
        <v>5000</v>
      </c>
      <c r="AA78" s="22">
        <v>15000</v>
      </c>
      <c r="AB78" s="22">
        <v>20000</v>
      </c>
      <c r="AC78" s="22">
        <v>25000</v>
      </c>
      <c r="AD78" s="22">
        <v>25000</v>
      </c>
      <c r="AE78" s="22">
        <v>25000</v>
      </c>
      <c r="AF78" s="22">
        <v>20000</v>
      </c>
      <c r="AG78" s="22">
        <v>15000</v>
      </c>
      <c r="AH78" s="22">
        <v>15000</v>
      </c>
      <c r="AI78" s="22">
        <v>10000</v>
      </c>
      <c r="AJ78" s="59"/>
      <c r="BA78" s="34"/>
    </row>
    <row r="79" spans="5:53" s="16" customFormat="1">
      <c r="E79" s="370"/>
      <c r="F79" s="11" t="s">
        <v>781</v>
      </c>
      <c r="G79" s="22">
        <v>19700</v>
      </c>
      <c r="H79" s="22">
        <v>15100</v>
      </c>
      <c r="I79" s="22">
        <v>10900</v>
      </c>
      <c r="J79" s="22">
        <v>7500</v>
      </c>
      <c r="K79" s="22"/>
      <c r="L79" s="22"/>
      <c r="M79" s="22"/>
      <c r="N79" s="22"/>
      <c r="O79" s="22"/>
      <c r="P79" s="22">
        <v>8600</v>
      </c>
      <c r="Q79" s="22">
        <v>13900</v>
      </c>
      <c r="R79" s="22">
        <v>14200</v>
      </c>
      <c r="S79" s="131"/>
      <c r="W79" s="11" t="s">
        <v>781</v>
      </c>
      <c r="X79" s="22">
        <v>19700</v>
      </c>
      <c r="Y79" s="22">
        <v>15100</v>
      </c>
      <c r="Z79" s="22">
        <v>10900</v>
      </c>
      <c r="AA79" s="22">
        <v>7500</v>
      </c>
      <c r="AB79" s="22"/>
      <c r="AC79" s="22"/>
      <c r="AD79" s="22"/>
      <c r="AE79" s="22"/>
      <c r="AF79" s="22"/>
      <c r="AG79" s="22">
        <v>8600</v>
      </c>
      <c r="AH79" s="22">
        <v>13900</v>
      </c>
      <c r="AI79" s="22">
        <v>14200</v>
      </c>
      <c r="AJ79" s="59"/>
      <c r="BA79" s="34"/>
    </row>
    <row r="80" spans="5:53" s="16" customFormat="1">
      <c r="E80" s="370"/>
      <c r="F80" s="11" t="s">
        <v>842</v>
      </c>
      <c r="G80" s="22">
        <f>SUM(G78:G79)</f>
        <v>29700</v>
      </c>
      <c r="H80" s="22">
        <f t="shared" ref="H80:R80" si="69">SUM(H78:H79)</f>
        <v>25100</v>
      </c>
      <c r="I80" s="22">
        <f t="shared" si="69"/>
        <v>15900</v>
      </c>
      <c r="J80" s="22">
        <f t="shared" si="69"/>
        <v>22500</v>
      </c>
      <c r="K80" s="22">
        <f t="shared" si="69"/>
        <v>20000</v>
      </c>
      <c r="L80" s="22">
        <f t="shared" si="69"/>
        <v>25000</v>
      </c>
      <c r="M80" s="22">
        <f t="shared" si="69"/>
        <v>25000</v>
      </c>
      <c r="N80" s="22">
        <f t="shared" si="69"/>
        <v>25000</v>
      </c>
      <c r="O80" s="22">
        <f t="shared" si="69"/>
        <v>20000</v>
      </c>
      <c r="P80" s="22">
        <f t="shared" si="69"/>
        <v>23600</v>
      </c>
      <c r="Q80" s="22">
        <f t="shared" si="69"/>
        <v>28900</v>
      </c>
      <c r="R80" s="22">
        <f t="shared" si="69"/>
        <v>24200</v>
      </c>
      <c r="S80" s="131"/>
      <c r="W80" s="11" t="s">
        <v>842</v>
      </c>
      <c r="X80" s="22">
        <f t="shared" ref="X80:AI80" si="70">SUM(X78:X79)</f>
        <v>29700</v>
      </c>
      <c r="Y80" s="22">
        <f t="shared" si="70"/>
        <v>25100</v>
      </c>
      <c r="Z80" s="22">
        <f t="shared" si="70"/>
        <v>15900</v>
      </c>
      <c r="AA80" s="22">
        <f t="shared" si="70"/>
        <v>22500</v>
      </c>
      <c r="AB80" s="22">
        <f t="shared" si="70"/>
        <v>20000</v>
      </c>
      <c r="AC80" s="22">
        <f t="shared" si="70"/>
        <v>25000</v>
      </c>
      <c r="AD80" s="22">
        <f t="shared" si="70"/>
        <v>25000</v>
      </c>
      <c r="AE80" s="22">
        <f t="shared" si="70"/>
        <v>25000</v>
      </c>
      <c r="AF80" s="22">
        <f t="shared" si="70"/>
        <v>20000</v>
      </c>
      <c r="AG80" s="22">
        <f t="shared" si="70"/>
        <v>23600</v>
      </c>
      <c r="AH80" s="22">
        <f t="shared" si="70"/>
        <v>28900</v>
      </c>
      <c r="AI80" s="22">
        <f t="shared" si="70"/>
        <v>24200</v>
      </c>
      <c r="AJ80" s="59"/>
      <c r="BA80" s="34"/>
    </row>
    <row r="81" spans="5:53" s="16" customFormat="1">
      <c r="E81" s="370"/>
      <c r="F81" s="11" t="s">
        <v>844</v>
      </c>
      <c r="G81" s="22">
        <f>SUM(G68,G72)</f>
        <v>0</v>
      </c>
      <c r="H81" s="22">
        <f t="shared" ref="H81:R81" si="71">SUM(H68,H72)</f>
        <v>0</v>
      </c>
      <c r="I81" s="22">
        <f t="shared" si="71"/>
        <v>0</v>
      </c>
      <c r="J81" s="22">
        <f t="shared" si="71"/>
        <v>0</v>
      </c>
      <c r="K81" s="22">
        <f t="shared" si="71"/>
        <v>4500</v>
      </c>
      <c r="L81" s="22">
        <f t="shared" si="71"/>
        <v>5500</v>
      </c>
      <c r="M81" s="22">
        <f t="shared" si="71"/>
        <v>5500</v>
      </c>
      <c r="N81" s="22">
        <f t="shared" si="71"/>
        <v>5500</v>
      </c>
      <c r="O81" s="22">
        <f t="shared" si="71"/>
        <v>4500</v>
      </c>
      <c r="P81" s="22">
        <f t="shared" si="71"/>
        <v>0</v>
      </c>
      <c r="Q81" s="22">
        <f t="shared" si="71"/>
        <v>2500</v>
      </c>
      <c r="R81" s="22">
        <f t="shared" si="71"/>
        <v>2500</v>
      </c>
      <c r="S81" s="131"/>
      <c r="W81" s="11" t="s">
        <v>844</v>
      </c>
      <c r="X81" s="22">
        <f>SUM(X68,X72)</f>
        <v>2500</v>
      </c>
      <c r="Y81" s="22">
        <f t="shared" ref="Y81:AI81" si="72">SUM(Y68,Y72)</f>
        <v>2500</v>
      </c>
      <c r="Z81" s="22">
        <f t="shared" si="72"/>
        <v>2500</v>
      </c>
      <c r="AA81" s="22">
        <f t="shared" si="72"/>
        <v>2500</v>
      </c>
      <c r="AB81" s="22">
        <f t="shared" si="72"/>
        <v>3000</v>
      </c>
      <c r="AC81" s="22">
        <f t="shared" si="72"/>
        <v>3500</v>
      </c>
      <c r="AD81" s="22">
        <f t="shared" si="72"/>
        <v>3500</v>
      </c>
      <c r="AE81" s="22">
        <f t="shared" si="72"/>
        <v>3500</v>
      </c>
      <c r="AF81" s="22">
        <f t="shared" si="72"/>
        <v>3000</v>
      </c>
      <c r="AG81" s="22">
        <f t="shared" si="72"/>
        <v>2500</v>
      </c>
      <c r="AH81" s="22">
        <f t="shared" si="72"/>
        <v>0</v>
      </c>
      <c r="AI81" s="22">
        <f t="shared" si="72"/>
        <v>0</v>
      </c>
      <c r="AJ81" s="59"/>
      <c r="BA81" s="34"/>
    </row>
    <row r="82" spans="5:53" s="16" customFormat="1">
      <c r="E82" s="370"/>
      <c r="F82" s="11" t="s">
        <v>782</v>
      </c>
      <c r="G82" s="22">
        <v>10000</v>
      </c>
      <c r="H82" s="22">
        <v>10000</v>
      </c>
      <c r="I82" s="22">
        <v>10000</v>
      </c>
      <c r="J82" s="22">
        <v>10000</v>
      </c>
      <c r="K82" s="22">
        <v>10000</v>
      </c>
      <c r="L82" s="22">
        <v>10000</v>
      </c>
      <c r="M82" s="22">
        <v>10000</v>
      </c>
      <c r="N82" s="22">
        <v>10000</v>
      </c>
      <c r="O82" s="22">
        <v>10000</v>
      </c>
      <c r="P82" s="22">
        <v>10000</v>
      </c>
      <c r="Q82" s="22">
        <v>10000</v>
      </c>
      <c r="R82" s="22">
        <v>10000</v>
      </c>
      <c r="S82" s="131"/>
      <c r="W82" s="11" t="s">
        <v>782</v>
      </c>
      <c r="X82" s="22">
        <v>10000</v>
      </c>
      <c r="Y82" s="22">
        <v>10000</v>
      </c>
      <c r="Z82" s="22">
        <v>10000</v>
      </c>
      <c r="AA82" s="22">
        <v>10000</v>
      </c>
      <c r="AB82" s="22">
        <v>10000</v>
      </c>
      <c r="AC82" s="22">
        <v>10000</v>
      </c>
      <c r="AD82" s="22">
        <v>10000</v>
      </c>
      <c r="AE82" s="22">
        <v>10000</v>
      </c>
      <c r="AF82" s="22">
        <v>10000</v>
      </c>
      <c r="AG82" s="22">
        <v>10000</v>
      </c>
      <c r="AH82" s="22">
        <v>10000</v>
      </c>
      <c r="AI82" s="22">
        <v>10000</v>
      </c>
      <c r="AJ82" s="59"/>
      <c r="BA82" s="34"/>
    </row>
    <row r="83" spans="5:53" s="16" customFormat="1">
      <c r="E83" s="370"/>
      <c r="F83" s="11" t="s">
        <v>783</v>
      </c>
      <c r="G83" s="22">
        <f>SUM(G80:G82)</f>
        <v>39700</v>
      </c>
      <c r="H83" s="22">
        <f t="shared" ref="H83:R83" si="73">SUM(H80:H82)</f>
        <v>35100</v>
      </c>
      <c r="I83" s="22">
        <f t="shared" si="73"/>
        <v>25900</v>
      </c>
      <c r="J83" s="22">
        <f t="shared" si="73"/>
        <v>32500</v>
      </c>
      <c r="K83" s="22">
        <f t="shared" si="73"/>
        <v>34500</v>
      </c>
      <c r="L83" s="22">
        <f t="shared" si="73"/>
        <v>40500</v>
      </c>
      <c r="M83" s="22">
        <f t="shared" si="73"/>
        <v>40500</v>
      </c>
      <c r="N83" s="22">
        <f t="shared" si="73"/>
        <v>40500</v>
      </c>
      <c r="O83" s="22">
        <f t="shared" si="73"/>
        <v>34500</v>
      </c>
      <c r="P83" s="22">
        <f t="shared" si="73"/>
        <v>33600</v>
      </c>
      <c r="Q83" s="22">
        <f t="shared" si="73"/>
        <v>41400</v>
      </c>
      <c r="R83" s="22">
        <f t="shared" si="73"/>
        <v>36700</v>
      </c>
      <c r="S83" s="131"/>
      <c r="W83" s="11" t="s">
        <v>783</v>
      </c>
      <c r="X83" s="22">
        <f t="shared" ref="X83:AI83" si="74">SUM(X80:X82)</f>
        <v>42200</v>
      </c>
      <c r="Y83" s="22">
        <f t="shared" si="74"/>
        <v>37600</v>
      </c>
      <c r="Z83" s="22">
        <f t="shared" si="74"/>
        <v>28400</v>
      </c>
      <c r="AA83" s="22">
        <f t="shared" si="74"/>
        <v>35000</v>
      </c>
      <c r="AB83" s="22">
        <f t="shared" si="74"/>
        <v>33000</v>
      </c>
      <c r="AC83" s="22">
        <f t="shared" si="74"/>
        <v>38500</v>
      </c>
      <c r="AD83" s="22">
        <f t="shared" si="74"/>
        <v>38500</v>
      </c>
      <c r="AE83" s="22">
        <f t="shared" si="74"/>
        <v>38500</v>
      </c>
      <c r="AF83" s="22">
        <f t="shared" si="74"/>
        <v>33000</v>
      </c>
      <c r="AG83" s="22">
        <f t="shared" si="74"/>
        <v>36100</v>
      </c>
      <c r="AH83" s="22">
        <f t="shared" si="74"/>
        <v>38900</v>
      </c>
      <c r="AI83" s="22">
        <f t="shared" si="74"/>
        <v>34200</v>
      </c>
      <c r="AJ83" s="59"/>
      <c r="BA83" s="34"/>
    </row>
    <row r="84" spans="5:53" s="16" customFormat="1">
      <c r="E84" s="370"/>
      <c r="F84" s="11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131"/>
      <c r="T84" s="34" t="s">
        <v>846</v>
      </c>
      <c r="W84" s="11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59"/>
      <c r="AK84" s="34" t="s">
        <v>846</v>
      </c>
      <c r="BA84" s="34"/>
    </row>
    <row r="85" spans="5:53" s="16" customFormat="1">
      <c r="E85" s="370"/>
      <c r="F85" s="11" t="s">
        <v>840</v>
      </c>
      <c r="G85" s="22">
        <f>SUM(G47,G51,G55,G59,G63)</f>
        <v>108500</v>
      </c>
      <c r="H85" s="22">
        <f t="shared" ref="H85:R85" si="75">SUM(H47,H51,H55,H59,H63)</f>
        <v>108500</v>
      </c>
      <c r="I85" s="22">
        <f t="shared" si="75"/>
        <v>105000</v>
      </c>
      <c r="J85" s="22">
        <f t="shared" si="75"/>
        <v>108500</v>
      </c>
      <c r="K85" s="22">
        <f t="shared" si="75"/>
        <v>300000</v>
      </c>
      <c r="L85" s="22">
        <f t="shared" si="75"/>
        <v>387500</v>
      </c>
      <c r="M85" s="22">
        <f t="shared" si="75"/>
        <v>387500</v>
      </c>
      <c r="N85" s="22">
        <f t="shared" si="75"/>
        <v>350000</v>
      </c>
      <c r="O85" s="22">
        <f t="shared" si="75"/>
        <v>387500</v>
      </c>
      <c r="P85" s="22">
        <f t="shared" si="75"/>
        <v>225000</v>
      </c>
      <c r="Q85" s="22">
        <f t="shared" si="75"/>
        <v>232500</v>
      </c>
      <c r="R85" s="22">
        <f t="shared" si="75"/>
        <v>225000</v>
      </c>
      <c r="S85" s="131">
        <f t="shared" ref="S85:S91" si="76">SUM(G85:R85)</f>
        <v>2925500</v>
      </c>
      <c r="T85" s="124">
        <f>S85/S3</f>
        <v>0.22960256185248246</v>
      </c>
      <c r="W85" s="11" t="s">
        <v>840</v>
      </c>
      <c r="X85" s="22">
        <f t="shared" ref="X85:AH85" si="77">SUM(X47,X51,X55,X59,X63)</f>
        <v>232500</v>
      </c>
      <c r="Y85" s="22">
        <f t="shared" si="77"/>
        <v>232500</v>
      </c>
      <c r="Z85" s="22">
        <f t="shared" si="77"/>
        <v>225000</v>
      </c>
      <c r="AA85" s="22">
        <f t="shared" si="77"/>
        <v>232500</v>
      </c>
      <c r="AB85" s="22">
        <f t="shared" si="77"/>
        <v>150000</v>
      </c>
      <c r="AC85" s="22">
        <f t="shared" si="77"/>
        <v>155000</v>
      </c>
      <c r="AD85" s="22">
        <f t="shared" si="77"/>
        <v>155000</v>
      </c>
      <c r="AE85" s="22">
        <f t="shared" si="77"/>
        <v>145000</v>
      </c>
      <c r="AF85" s="22">
        <f t="shared" si="77"/>
        <v>155000</v>
      </c>
      <c r="AG85" s="22">
        <f t="shared" si="77"/>
        <v>0</v>
      </c>
      <c r="AH85" s="22">
        <f t="shared" si="77"/>
        <v>0</v>
      </c>
      <c r="AI85" s="22">
        <f>SUM(AI47,AI51,AI55,AI59,AI63)</f>
        <v>0</v>
      </c>
      <c r="AJ85" s="143">
        <f t="shared" ref="AJ85:AJ91" si="78">SUM(X85:AI85)</f>
        <v>1682500</v>
      </c>
      <c r="AK85" s="124">
        <f>AJ85/AJ3</f>
        <v>0.13120002126244021</v>
      </c>
      <c r="BA85" s="34"/>
    </row>
    <row r="86" spans="5:53" s="16" customFormat="1">
      <c r="E86" s="370"/>
      <c r="F86" s="11" t="s">
        <v>784</v>
      </c>
      <c r="G86" s="22">
        <f>G78*G1</f>
        <v>310000</v>
      </c>
      <c r="H86" s="22">
        <f>H78*H1</f>
        <v>310000</v>
      </c>
      <c r="I86" s="22">
        <f t="shared" ref="I86:R86" si="79">I78*I1</f>
        <v>150000</v>
      </c>
      <c r="J86" s="22">
        <f t="shared" si="79"/>
        <v>465000</v>
      </c>
      <c r="K86" s="22">
        <f t="shared" si="79"/>
        <v>600000</v>
      </c>
      <c r="L86" s="22">
        <f t="shared" si="79"/>
        <v>775000</v>
      </c>
      <c r="M86" s="22">
        <f t="shared" si="79"/>
        <v>775000</v>
      </c>
      <c r="N86" s="22">
        <f t="shared" si="79"/>
        <v>700000</v>
      </c>
      <c r="O86" s="22">
        <f t="shared" si="79"/>
        <v>620000</v>
      </c>
      <c r="P86" s="22">
        <f t="shared" si="79"/>
        <v>450000</v>
      </c>
      <c r="Q86" s="22">
        <f t="shared" si="79"/>
        <v>465000</v>
      </c>
      <c r="R86" s="22">
        <f t="shared" si="79"/>
        <v>300000</v>
      </c>
      <c r="S86" s="131">
        <f t="shared" si="76"/>
        <v>5920000</v>
      </c>
      <c r="T86" s="124">
        <f>S86/S3</f>
        <v>0.46462046356749143</v>
      </c>
      <c r="W86" s="11" t="s">
        <v>784</v>
      </c>
      <c r="X86" s="22">
        <f>X78*X1</f>
        <v>310000</v>
      </c>
      <c r="Y86" s="22">
        <f>Y78*Y1</f>
        <v>310000</v>
      </c>
      <c r="Z86" s="22">
        <f t="shared" ref="Z86:AI86" si="80">Z78*Z1</f>
        <v>150000</v>
      </c>
      <c r="AA86" s="22">
        <f t="shared" si="80"/>
        <v>465000</v>
      </c>
      <c r="AB86" s="22">
        <f t="shared" si="80"/>
        <v>600000</v>
      </c>
      <c r="AC86" s="22">
        <f t="shared" si="80"/>
        <v>775000</v>
      </c>
      <c r="AD86" s="22">
        <f t="shared" si="80"/>
        <v>775000</v>
      </c>
      <c r="AE86" s="22">
        <f t="shared" si="80"/>
        <v>725000</v>
      </c>
      <c r="AF86" s="22">
        <f t="shared" si="80"/>
        <v>620000</v>
      </c>
      <c r="AG86" s="22">
        <f t="shared" si="80"/>
        <v>450000</v>
      </c>
      <c r="AH86" s="22">
        <f t="shared" si="80"/>
        <v>465000</v>
      </c>
      <c r="AI86" s="22">
        <f t="shared" si="80"/>
        <v>300000</v>
      </c>
      <c r="AJ86" s="59">
        <f t="shared" si="78"/>
        <v>5945000</v>
      </c>
      <c r="AK86" s="124">
        <f>AJ86/AJ3</f>
        <v>0.46358640499566539</v>
      </c>
      <c r="BA86" s="34"/>
    </row>
    <row r="87" spans="5:53" s="16" customFormat="1">
      <c r="E87" s="370"/>
      <c r="F87" s="11" t="s">
        <v>785</v>
      </c>
      <c r="G87" s="22">
        <f>G79*G1</f>
        <v>610700</v>
      </c>
      <c r="H87" s="22">
        <f>H79*H1</f>
        <v>468100</v>
      </c>
      <c r="I87" s="22">
        <f t="shared" ref="I87:R87" si="81">I79*I1</f>
        <v>327000</v>
      </c>
      <c r="J87" s="22">
        <f t="shared" si="81"/>
        <v>232500</v>
      </c>
      <c r="K87" s="22">
        <f t="shared" si="81"/>
        <v>0</v>
      </c>
      <c r="L87" s="22">
        <f t="shared" si="81"/>
        <v>0</v>
      </c>
      <c r="M87" s="22">
        <f t="shared" si="81"/>
        <v>0</v>
      </c>
      <c r="N87" s="22">
        <f t="shared" si="81"/>
        <v>0</v>
      </c>
      <c r="O87" s="22">
        <f t="shared" si="81"/>
        <v>0</v>
      </c>
      <c r="P87" s="22">
        <f t="shared" si="81"/>
        <v>258000</v>
      </c>
      <c r="Q87" s="22">
        <f t="shared" si="81"/>
        <v>430900</v>
      </c>
      <c r="R87" s="22">
        <f t="shared" si="81"/>
        <v>426000</v>
      </c>
      <c r="S87" s="131">
        <f t="shared" si="76"/>
        <v>2753200</v>
      </c>
      <c r="T87" s="124">
        <f>S87/S3</f>
        <v>0.21607990883344888</v>
      </c>
      <c r="W87" s="11" t="s">
        <v>785</v>
      </c>
      <c r="X87" s="22">
        <f>X79*X1</f>
        <v>610700</v>
      </c>
      <c r="Y87" s="22">
        <f>Y79*Y1</f>
        <v>468100</v>
      </c>
      <c r="Z87" s="22">
        <f t="shared" ref="Z87:AI87" si="82">Z79*Z1</f>
        <v>327000</v>
      </c>
      <c r="AA87" s="22">
        <f t="shared" si="82"/>
        <v>232500</v>
      </c>
      <c r="AB87" s="22">
        <f t="shared" si="82"/>
        <v>0</v>
      </c>
      <c r="AC87" s="22">
        <f t="shared" si="82"/>
        <v>0</v>
      </c>
      <c r="AD87" s="22">
        <f t="shared" si="82"/>
        <v>0</v>
      </c>
      <c r="AE87" s="22">
        <f t="shared" si="82"/>
        <v>0</v>
      </c>
      <c r="AF87" s="22">
        <f t="shared" si="82"/>
        <v>0</v>
      </c>
      <c r="AG87" s="22">
        <f t="shared" si="82"/>
        <v>258000</v>
      </c>
      <c r="AH87" s="22">
        <f t="shared" si="82"/>
        <v>430900</v>
      </c>
      <c r="AI87" s="22">
        <f t="shared" si="82"/>
        <v>426000</v>
      </c>
      <c r="AJ87" s="59">
        <f t="shared" si="78"/>
        <v>2753200</v>
      </c>
      <c r="AK87" s="124">
        <f>AJ87/AJ3</f>
        <v>0.21469236168781597</v>
      </c>
      <c r="BA87" s="34"/>
    </row>
    <row r="88" spans="5:53" s="16" customFormat="1">
      <c r="E88" s="370"/>
      <c r="F88" s="11" t="s">
        <v>843</v>
      </c>
      <c r="G88" s="22">
        <f>G80*G1</f>
        <v>920700</v>
      </c>
      <c r="H88" s="22">
        <f t="shared" ref="H88:R88" si="83">H80*H1</f>
        <v>778100</v>
      </c>
      <c r="I88" s="22">
        <f t="shared" si="83"/>
        <v>477000</v>
      </c>
      <c r="J88" s="22">
        <f t="shared" si="83"/>
        <v>697500</v>
      </c>
      <c r="K88" s="22">
        <f t="shared" si="83"/>
        <v>600000</v>
      </c>
      <c r="L88" s="22">
        <f t="shared" si="83"/>
        <v>775000</v>
      </c>
      <c r="M88" s="22">
        <f t="shared" si="83"/>
        <v>775000</v>
      </c>
      <c r="N88" s="22">
        <f t="shared" si="83"/>
        <v>700000</v>
      </c>
      <c r="O88" s="22">
        <f t="shared" si="83"/>
        <v>620000</v>
      </c>
      <c r="P88" s="22">
        <f t="shared" si="83"/>
        <v>708000</v>
      </c>
      <c r="Q88" s="22">
        <f t="shared" si="83"/>
        <v>895900</v>
      </c>
      <c r="R88" s="22">
        <f t="shared" si="83"/>
        <v>726000</v>
      </c>
      <c r="S88" s="131">
        <f t="shared" si="76"/>
        <v>8673200</v>
      </c>
      <c r="T88" s="124">
        <f>S88/S3</f>
        <v>0.68070037240094028</v>
      </c>
      <c r="W88" s="11" t="s">
        <v>843</v>
      </c>
      <c r="X88" s="22">
        <f>X80*X1</f>
        <v>920700</v>
      </c>
      <c r="Y88" s="22">
        <f t="shared" ref="Y88:AI88" si="84">Y80*Y1</f>
        <v>778100</v>
      </c>
      <c r="Z88" s="22">
        <f t="shared" si="84"/>
        <v>477000</v>
      </c>
      <c r="AA88" s="22">
        <f t="shared" si="84"/>
        <v>697500</v>
      </c>
      <c r="AB88" s="22">
        <f t="shared" si="84"/>
        <v>600000</v>
      </c>
      <c r="AC88" s="22">
        <f t="shared" si="84"/>
        <v>775000</v>
      </c>
      <c r="AD88" s="22">
        <f t="shared" si="84"/>
        <v>775000</v>
      </c>
      <c r="AE88" s="22">
        <f t="shared" si="84"/>
        <v>725000</v>
      </c>
      <c r="AF88" s="22">
        <f t="shared" si="84"/>
        <v>620000</v>
      </c>
      <c r="AG88" s="22">
        <f t="shared" si="84"/>
        <v>708000</v>
      </c>
      <c r="AH88" s="22">
        <f t="shared" si="84"/>
        <v>895900</v>
      </c>
      <c r="AI88" s="22">
        <f t="shared" si="84"/>
        <v>726000</v>
      </c>
      <c r="AJ88" s="59">
        <f t="shared" si="78"/>
        <v>8698200</v>
      </c>
      <c r="AK88" s="124">
        <f>AJ88/AJ3</f>
        <v>0.67827876668348142</v>
      </c>
      <c r="BA88" s="34"/>
    </row>
    <row r="89" spans="5:53" s="16" customFormat="1">
      <c r="E89" s="370"/>
      <c r="F89" s="11" t="s">
        <v>845</v>
      </c>
      <c r="G89" s="22">
        <f>G81*G1</f>
        <v>0</v>
      </c>
      <c r="H89" s="22">
        <f t="shared" ref="H89:R89" si="85">H81*H1</f>
        <v>0</v>
      </c>
      <c r="I89" s="22">
        <f t="shared" si="85"/>
        <v>0</v>
      </c>
      <c r="J89" s="22">
        <f t="shared" si="85"/>
        <v>0</v>
      </c>
      <c r="K89" s="22">
        <f t="shared" si="85"/>
        <v>135000</v>
      </c>
      <c r="L89" s="22">
        <f t="shared" si="85"/>
        <v>170500</v>
      </c>
      <c r="M89" s="22">
        <f t="shared" si="85"/>
        <v>170500</v>
      </c>
      <c r="N89" s="22">
        <f t="shared" si="85"/>
        <v>154000</v>
      </c>
      <c r="O89" s="22">
        <f t="shared" si="85"/>
        <v>139500</v>
      </c>
      <c r="P89" s="22">
        <f t="shared" si="85"/>
        <v>0</v>
      </c>
      <c r="Q89" s="22">
        <f t="shared" si="85"/>
        <v>77500</v>
      </c>
      <c r="R89" s="22">
        <f t="shared" si="85"/>
        <v>75000</v>
      </c>
      <c r="S89" s="131">
        <f t="shared" si="76"/>
        <v>922000</v>
      </c>
      <c r="T89" s="124">
        <f>S89/S5</f>
        <v>0.2450261838689464</v>
      </c>
      <c r="W89" s="11" t="s">
        <v>845</v>
      </c>
      <c r="X89" s="22">
        <f>X81*X1</f>
        <v>77500</v>
      </c>
      <c r="Y89" s="22">
        <f t="shared" ref="Y89:AI89" si="86">Y81*Y1</f>
        <v>77500</v>
      </c>
      <c r="Z89" s="22">
        <f t="shared" si="86"/>
        <v>75000</v>
      </c>
      <c r="AA89" s="22">
        <f t="shared" si="86"/>
        <v>77500</v>
      </c>
      <c r="AB89" s="22">
        <f t="shared" si="86"/>
        <v>90000</v>
      </c>
      <c r="AC89" s="22">
        <f t="shared" si="86"/>
        <v>108500</v>
      </c>
      <c r="AD89" s="22">
        <f t="shared" si="86"/>
        <v>108500</v>
      </c>
      <c r="AE89" s="22">
        <f t="shared" si="86"/>
        <v>101500</v>
      </c>
      <c r="AF89" s="22">
        <f t="shared" si="86"/>
        <v>93000</v>
      </c>
      <c r="AG89" s="22">
        <f t="shared" si="86"/>
        <v>75000</v>
      </c>
      <c r="AH89" s="22">
        <f t="shared" si="86"/>
        <v>0</v>
      </c>
      <c r="AI89" s="22">
        <f t="shared" si="86"/>
        <v>0</v>
      </c>
      <c r="AJ89" s="59">
        <f t="shared" si="78"/>
        <v>884000</v>
      </c>
      <c r="AK89" s="124">
        <f>AJ89/AJ5</f>
        <v>0.22853110214507558</v>
      </c>
      <c r="BA89" s="34"/>
    </row>
    <row r="90" spans="5:53" s="16" customFormat="1">
      <c r="E90" s="370"/>
      <c r="F90" s="11" t="s">
        <v>786</v>
      </c>
      <c r="G90" s="22">
        <f>G82*$G$1</f>
        <v>310000</v>
      </c>
      <c r="H90" s="22">
        <f>H82*H1</f>
        <v>310000</v>
      </c>
      <c r="I90" s="22">
        <f t="shared" ref="I90:R90" si="87">I82*I1</f>
        <v>300000</v>
      </c>
      <c r="J90" s="22">
        <f t="shared" si="87"/>
        <v>310000</v>
      </c>
      <c r="K90" s="22">
        <f t="shared" si="87"/>
        <v>300000</v>
      </c>
      <c r="L90" s="22">
        <f t="shared" si="87"/>
        <v>310000</v>
      </c>
      <c r="M90" s="22">
        <f t="shared" si="87"/>
        <v>310000</v>
      </c>
      <c r="N90" s="22">
        <f t="shared" si="87"/>
        <v>280000</v>
      </c>
      <c r="O90" s="22">
        <f t="shared" si="87"/>
        <v>310000</v>
      </c>
      <c r="P90" s="22">
        <f t="shared" si="87"/>
        <v>300000</v>
      </c>
      <c r="Q90" s="22">
        <f t="shared" si="87"/>
        <v>310000</v>
      </c>
      <c r="R90" s="22">
        <f t="shared" si="87"/>
        <v>300000</v>
      </c>
      <c r="S90" s="131">
        <f t="shared" si="76"/>
        <v>3650000</v>
      </c>
      <c r="T90" s="124">
        <f>S90/S5</f>
        <v>0.9700060424312954</v>
      </c>
      <c r="W90" s="11" t="s">
        <v>786</v>
      </c>
      <c r="X90" s="22">
        <f>X82*$G$1</f>
        <v>310000</v>
      </c>
      <c r="Y90" s="22">
        <f>Y82*Y1</f>
        <v>310000</v>
      </c>
      <c r="Z90" s="22">
        <f t="shared" ref="Z90:AI90" si="88">Z82*Z1</f>
        <v>300000</v>
      </c>
      <c r="AA90" s="22">
        <f t="shared" si="88"/>
        <v>310000</v>
      </c>
      <c r="AB90" s="22">
        <f t="shared" si="88"/>
        <v>300000</v>
      </c>
      <c r="AC90" s="22">
        <f t="shared" si="88"/>
        <v>310000</v>
      </c>
      <c r="AD90" s="22">
        <f t="shared" si="88"/>
        <v>310000</v>
      </c>
      <c r="AE90" s="22">
        <f t="shared" si="88"/>
        <v>290000</v>
      </c>
      <c r="AF90" s="22">
        <f t="shared" si="88"/>
        <v>310000</v>
      </c>
      <c r="AG90" s="22">
        <f t="shared" si="88"/>
        <v>300000</v>
      </c>
      <c r="AH90" s="22">
        <f t="shared" si="88"/>
        <v>310000</v>
      </c>
      <c r="AI90" s="22">
        <f t="shared" si="88"/>
        <v>300000</v>
      </c>
      <c r="AJ90" s="59">
        <f t="shared" si="78"/>
        <v>3660000</v>
      </c>
      <c r="AK90" s="124">
        <f>AJ90/AJ5</f>
        <v>0.94618080752372924</v>
      </c>
      <c r="BA90" s="34"/>
    </row>
    <row r="91" spans="5:53" s="16" customFormat="1">
      <c r="E91" s="370"/>
      <c r="F91" s="11" t="s">
        <v>787</v>
      </c>
      <c r="G91" s="22">
        <f>G83*G1</f>
        <v>1230700</v>
      </c>
      <c r="H91" s="22">
        <f>H83*H1</f>
        <v>1088100</v>
      </c>
      <c r="I91" s="22">
        <f t="shared" ref="I91:R91" si="89">I83*I1</f>
        <v>777000</v>
      </c>
      <c r="J91" s="22">
        <f t="shared" si="89"/>
        <v>1007500</v>
      </c>
      <c r="K91" s="22">
        <f t="shared" si="89"/>
        <v>1035000</v>
      </c>
      <c r="L91" s="22">
        <f t="shared" si="89"/>
        <v>1255500</v>
      </c>
      <c r="M91" s="22">
        <f t="shared" si="89"/>
        <v>1255500</v>
      </c>
      <c r="N91" s="22">
        <f t="shared" si="89"/>
        <v>1134000</v>
      </c>
      <c r="O91" s="22">
        <f t="shared" si="89"/>
        <v>1069500</v>
      </c>
      <c r="P91" s="22">
        <f t="shared" si="89"/>
        <v>1008000</v>
      </c>
      <c r="Q91" s="22">
        <f t="shared" si="89"/>
        <v>1283400</v>
      </c>
      <c r="R91" s="22">
        <f t="shared" si="89"/>
        <v>1101000</v>
      </c>
      <c r="S91" s="131">
        <f t="shared" si="76"/>
        <v>13245200</v>
      </c>
      <c r="T91" s="124">
        <f>S91/S7</f>
        <v>0.80252316368658827</v>
      </c>
      <c r="W91" s="11" t="s">
        <v>787</v>
      </c>
      <c r="X91" s="22">
        <f>X83*X1</f>
        <v>1308200</v>
      </c>
      <c r="Y91" s="22">
        <f>Y83*Y1</f>
        <v>1165600</v>
      </c>
      <c r="Z91" s="22">
        <f t="shared" ref="Z91:AI91" si="90">Z83*Z1</f>
        <v>852000</v>
      </c>
      <c r="AA91" s="22">
        <f t="shared" si="90"/>
        <v>1085000</v>
      </c>
      <c r="AB91" s="22">
        <f t="shared" si="90"/>
        <v>990000</v>
      </c>
      <c r="AC91" s="22">
        <f t="shared" si="90"/>
        <v>1193500</v>
      </c>
      <c r="AD91" s="22">
        <f t="shared" si="90"/>
        <v>1193500</v>
      </c>
      <c r="AE91" s="22">
        <f t="shared" si="90"/>
        <v>1116500</v>
      </c>
      <c r="AF91" s="22">
        <f t="shared" si="90"/>
        <v>1023000</v>
      </c>
      <c r="AG91" s="22">
        <f t="shared" si="90"/>
        <v>1083000</v>
      </c>
      <c r="AH91" s="22">
        <f t="shared" si="90"/>
        <v>1205900</v>
      </c>
      <c r="AI91" s="22">
        <f t="shared" si="90"/>
        <v>1026000</v>
      </c>
      <c r="AJ91" s="59">
        <f t="shared" si="78"/>
        <v>13242200</v>
      </c>
      <c r="AK91" s="124">
        <f>AJ91/AJ7</f>
        <v>0.79332075922740608</v>
      </c>
      <c r="BA91" s="34"/>
    </row>
    <row r="92" spans="5:53" s="16" customFormat="1">
      <c r="E92" s="370"/>
      <c r="F92" s="11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131"/>
      <c r="W92" s="11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59"/>
      <c r="BA92" s="34"/>
    </row>
    <row r="93" spans="5:53" s="16" customFormat="1">
      <c r="E93" s="370"/>
      <c r="F93" s="11" t="s">
        <v>847</v>
      </c>
      <c r="G93" s="124">
        <f>G85/SUM(G3,G34)</f>
        <v>8.8666993518665888E-2</v>
      </c>
      <c r="H93" s="124">
        <f t="shared" ref="H93:R93" si="91">H85/SUM(H3,H34)</f>
        <v>9.1855529986393972E-2</v>
      </c>
      <c r="I93" s="124">
        <f t="shared" si="91"/>
        <v>0.14040526466676326</v>
      </c>
      <c r="J93" s="124">
        <f t="shared" si="91"/>
        <v>0.10042638010183391</v>
      </c>
      <c r="K93" s="124">
        <f t="shared" si="91"/>
        <v>0.25055336819554547</v>
      </c>
      <c r="L93" s="124">
        <f t="shared" si="91"/>
        <v>0.33891783457173624</v>
      </c>
      <c r="M93" s="124">
        <f t="shared" si="91"/>
        <v>0.25741190773841205</v>
      </c>
      <c r="N93" s="124">
        <f t="shared" si="91"/>
        <v>0.25349209832427899</v>
      </c>
      <c r="O93" s="124">
        <f t="shared" si="91"/>
        <v>0.48800879643196432</v>
      </c>
      <c r="P93" s="124">
        <f t="shared" si="91"/>
        <v>0.18185608871400813</v>
      </c>
      <c r="Q93" s="124">
        <f t="shared" si="91"/>
        <v>0.21053150963730419</v>
      </c>
      <c r="R93" s="124">
        <f t="shared" si="91"/>
        <v>0.27136191126268455</v>
      </c>
      <c r="S93" s="128">
        <f>S85/SUM(S3,G34:J34,P34:R34)</f>
        <v>0.17555877861905569</v>
      </c>
      <c r="W93" s="11" t="s">
        <v>847</v>
      </c>
      <c r="X93" s="128">
        <f>X85/SUM(X3,X34)</f>
        <v>0.29354089339737488</v>
      </c>
      <c r="Y93" s="128">
        <f>Y85/SUM(Y3,Y34)</f>
        <v>0.28366255694748294</v>
      </c>
      <c r="Z93" s="124">
        <f>Z85/SUM(Z3,Z34)</f>
        <v>0.30805324563781067</v>
      </c>
      <c r="AA93" s="124">
        <f>AA85/SUM(AA3,AA34)</f>
        <v>0.21118662392921009</v>
      </c>
      <c r="AB93" s="128">
        <f>AB85/AB3</f>
        <v>0.10685146958676495</v>
      </c>
      <c r="AC93" s="128">
        <f>AC85/AC3</f>
        <v>7.4951476012783208E-2</v>
      </c>
      <c r="AD93" s="128">
        <f>AD85/AD3</f>
        <v>6.5617130625850895E-2</v>
      </c>
      <c r="AE93" s="128">
        <f>AE85/AE3</f>
        <v>7.48566087591091E-2</v>
      </c>
      <c r="AF93" s="128">
        <f>AF85/AF3</f>
        <v>9.998439717611754E-2</v>
      </c>
      <c r="AG93" s="124">
        <f>AG85/SUM(AG3,AG34)</f>
        <v>0</v>
      </c>
      <c r="AH93" s="124">
        <f>AH85/SUM(AH3,AH34)</f>
        <v>0</v>
      </c>
      <c r="AI93" s="124">
        <f>AI85/SUM(AI3,AI34)</f>
        <v>0</v>
      </c>
      <c r="AJ93" s="124">
        <f>AJ85/SUM(AJ3,X34:AA34,AG34:AI34)</f>
        <v>0.10590164955863653</v>
      </c>
      <c r="BA93" s="34"/>
    </row>
    <row r="94" spans="5:53" s="16" customFormat="1">
      <c r="E94" s="370"/>
      <c r="F94" s="11" t="s">
        <v>848</v>
      </c>
      <c r="G94" s="124">
        <f>G85/G88</f>
        <v>0.11784511784511785</v>
      </c>
      <c r="H94" s="124">
        <f t="shared" ref="H94:R94" si="92">H85/H88</f>
        <v>0.1394422310756972</v>
      </c>
      <c r="I94" s="124">
        <f t="shared" si="92"/>
        <v>0.22012578616352202</v>
      </c>
      <c r="J94" s="124">
        <f t="shared" si="92"/>
        <v>0.15555555555555556</v>
      </c>
      <c r="K94" s="359">
        <f t="shared" si="92"/>
        <v>0.5</v>
      </c>
      <c r="L94" s="359">
        <f t="shared" si="92"/>
        <v>0.5</v>
      </c>
      <c r="M94" s="359">
        <f t="shared" si="92"/>
        <v>0.5</v>
      </c>
      <c r="N94" s="359">
        <f t="shared" si="92"/>
        <v>0.5</v>
      </c>
      <c r="O94" s="359">
        <f t="shared" si="92"/>
        <v>0.625</v>
      </c>
      <c r="P94" s="124">
        <f t="shared" si="92"/>
        <v>0.31779661016949151</v>
      </c>
      <c r="Q94" s="124">
        <f t="shared" si="92"/>
        <v>0.25951557093425603</v>
      </c>
      <c r="R94" s="124">
        <f t="shared" si="92"/>
        <v>0.30991735537190085</v>
      </c>
      <c r="S94" s="128">
        <f>S85/S88</f>
        <v>0.33730341742378822</v>
      </c>
      <c r="W94" s="11" t="s">
        <v>848</v>
      </c>
      <c r="X94" s="124">
        <f>X85/X88</f>
        <v>0.25252525252525254</v>
      </c>
      <c r="Y94" s="124">
        <f t="shared" ref="Y94:AI94" si="93">Y85/Y88</f>
        <v>0.29880478087649404</v>
      </c>
      <c r="Z94" s="124">
        <f t="shared" si="93"/>
        <v>0.47169811320754718</v>
      </c>
      <c r="AA94" s="124">
        <f t="shared" si="93"/>
        <v>0.33333333333333331</v>
      </c>
      <c r="AB94" s="124">
        <f t="shared" si="93"/>
        <v>0.25</v>
      </c>
      <c r="AC94" s="124">
        <f t="shared" si="93"/>
        <v>0.2</v>
      </c>
      <c r="AD94" s="124">
        <f t="shared" si="93"/>
        <v>0.2</v>
      </c>
      <c r="AE94" s="124">
        <f t="shared" si="93"/>
        <v>0.2</v>
      </c>
      <c r="AF94" s="124">
        <f t="shared" si="93"/>
        <v>0.25</v>
      </c>
      <c r="AG94" s="124">
        <f t="shared" si="93"/>
        <v>0</v>
      </c>
      <c r="AH94" s="124">
        <f t="shared" si="93"/>
        <v>0</v>
      </c>
      <c r="AI94" s="124">
        <f t="shared" si="93"/>
        <v>0</v>
      </c>
      <c r="AJ94" s="124">
        <f>AJ85/AJ88</f>
        <v>0.19343082476834286</v>
      </c>
      <c r="BA94" s="34"/>
    </row>
    <row r="95" spans="5:53" s="16" customFormat="1">
      <c r="E95" s="370"/>
      <c r="F95" s="11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131"/>
      <c r="AJ95" s="34"/>
      <c r="BA95" s="34"/>
    </row>
    <row r="96" spans="5:53" s="16" customFormat="1">
      <c r="E96" s="370"/>
      <c r="F96" s="11"/>
      <c r="G96" s="124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131"/>
      <c r="AJ96" s="34"/>
      <c r="BA96" s="34"/>
    </row>
    <row r="97" spans="2:53" s="16" customFormat="1">
      <c r="E97" s="370"/>
      <c r="F97" s="11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131"/>
      <c r="AJ97" s="34"/>
      <c r="BA97" s="34"/>
    </row>
    <row r="98" spans="2:53" s="16" customFormat="1">
      <c r="E98" s="370"/>
      <c r="F98" s="11"/>
      <c r="G98" s="22"/>
      <c r="H98" s="22"/>
      <c r="I98" s="22"/>
      <c r="J98" s="22"/>
      <c r="K98" s="296"/>
      <c r="L98" s="22"/>
      <c r="M98" s="22"/>
      <c r="N98" s="22"/>
      <c r="O98" s="22"/>
      <c r="P98" s="22"/>
      <c r="Q98" s="22"/>
      <c r="R98" s="22"/>
      <c r="S98" s="131"/>
      <c r="AJ98" s="34"/>
      <c r="BA98" s="34"/>
    </row>
    <row r="99" spans="2:53" s="16" customFormat="1">
      <c r="E99" s="370"/>
      <c r="F99" s="11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131"/>
      <c r="AJ99" s="34"/>
      <c r="BA99" s="34"/>
    </row>
    <row r="100" spans="2:53" s="16" customFormat="1">
      <c r="E100" s="370"/>
      <c r="F100" s="11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131"/>
      <c r="AJ100" s="34"/>
      <c r="BA100" s="34"/>
    </row>
    <row r="101" spans="2:53" s="16" customFormat="1">
      <c r="E101" s="370"/>
      <c r="F101" s="11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131"/>
      <c r="AJ101" s="34"/>
      <c r="BA101" s="34"/>
    </row>
    <row r="102" spans="2:53" s="16" customFormat="1">
      <c r="E102" s="370"/>
      <c r="F102" s="11"/>
      <c r="G102" s="22"/>
      <c r="H102" s="22"/>
      <c r="I102" s="22"/>
      <c r="J102" s="22"/>
      <c r="K102" s="22"/>
      <c r="L102" s="16">
        <f>AVERAGE(L111:N111)</f>
        <v>0.25866666666666666</v>
      </c>
      <c r="M102" s="22"/>
      <c r="N102" s="22"/>
      <c r="O102" s="22"/>
      <c r="P102" s="22"/>
      <c r="Q102" s="22"/>
      <c r="R102" s="22"/>
      <c r="S102" s="131"/>
      <c r="AC102" s="16">
        <f>AVERAGE(AC111:AE111)</f>
        <v>0.13</v>
      </c>
      <c r="AJ102" s="34"/>
      <c r="BA102" s="34"/>
    </row>
    <row r="103" spans="2:53" s="16" customFormat="1">
      <c r="E103" s="370"/>
      <c r="F103" s="11"/>
      <c r="G103" s="22"/>
      <c r="H103" s="22"/>
      <c r="I103" s="22"/>
      <c r="J103" s="22"/>
      <c r="K103" s="22"/>
      <c r="L103" s="16">
        <f>AVERAGE(L113:N113)</f>
        <v>0.15566666666666665</v>
      </c>
      <c r="M103" s="22"/>
      <c r="N103" s="22"/>
      <c r="O103" s="22"/>
      <c r="P103" s="22"/>
      <c r="Q103" s="22"/>
      <c r="R103" s="22"/>
      <c r="S103" s="131"/>
      <c r="AC103" s="16">
        <f>AVERAGE(AC113:AE113)</f>
        <v>7.7499999999999999E-2</v>
      </c>
      <c r="AJ103" s="34"/>
      <c r="BA103" s="34"/>
    </row>
    <row r="104" spans="2:53" s="16" customFormat="1">
      <c r="E104" s="370"/>
      <c r="F104" s="11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131"/>
      <c r="AJ104" s="34"/>
      <c r="BA104" s="34"/>
    </row>
    <row r="105" spans="2:53" s="16" customFormat="1">
      <c r="E105" s="370"/>
      <c r="F105" s="11" t="s">
        <v>88</v>
      </c>
      <c r="G105" s="32">
        <f t="shared" ref="G105:R105" si="94">SUM(G49,G53,G57,G61,G65,G69,G73)</f>
        <v>546917.5</v>
      </c>
      <c r="H105" s="32">
        <f t="shared" si="94"/>
        <v>551335</v>
      </c>
      <c r="I105" s="32">
        <f t="shared" si="94"/>
        <v>456750</v>
      </c>
      <c r="J105" s="32">
        <f t="shared" si="94"/>
        <v>478717.5</v>
      </c>
      <c r="K105" s="32">
        <f t="shared" si="94"/>
        <v>1916400</v>
      </c>
      <c r="L105" s="32">
        <f t="shared" si="94"/>
        <v>2382195</v>
      </c>
      <c r="M105" s="32">
        <f t="shared" si="94"/>
        <v>2382195</v>
      </c>
      <c r="N105" s="32">
        <f t="shared" si="94"/>
        <v>2151660</v>
      </c>
      <c r="O105" s="32">
        <f t="shared" si="94"/>
        <v>2252305</v>
      </c>
      <c r="P105" s="32">
        <f t="shared" si="94"/>
        <v>954000</v>
      </c>
      <c r="Q105" s="32">
        <f t="shared" si="94"/>
        <v>1381902.5</v>
      </c>
      <c r="R105" s="32">
        <f t="shared" si="94"/>
        <v>1325850</v>
      </c>
      <c r="S105" s="199">
        <f>SUM(G105:R105)</f>
        <v>16780227.5</v>
      </c>
      <c r="T105" s="175"/>
      <c r="W105" s="11" t="s">
        <v>88</v>
      </c>
      <c r="X105" s="32">
        <f>SUM(X53,X57,X61,X65,X69,X73)</f>
        <v>1377252.5</v>
      </c>
      <c r="Y105" s="32">
        <f t="shared" ref="Y105:AI105" si="95">SUM(Y53,Y57,Y61,Y65,Y69,Y73)</f>
        <v>1380275</v>
      </c>
      <c r="Z105" s="32">
        <f t="shared" si="95"/>
        <v>1251150</v>
      </c>
      <c r="AA105" s="32">
        <f t="shared" si="95"/>
        <v>1297737.5</v>
      </c>
      <c r="AB105" s="32">
        <f t="shared" si="95"/>
        <v>1048050</v>
      </c>
      <c r="AC105" s="32">
        <f t="shared" si="95"/>
        <v>1190090</v>
      </c>
      <c r="AD105" s="32">
        <f t="shared" si="95"/>
        <v>1205125</v>
      </c>
      <c r="AE105" s="32">
        <f t="shared" si="95"/>
        <v>1127520</v>
      </c>
      <c r="AF105" s="32">
        <f t="shared" si="95"/>
        <v>1128090</v>
      </c>
      <c r="AG105" s="32">
        <f t="shared" si="95"/>
        <v>352500</v>
      </c>
      <c r="AH105" s="32">
        <f t="shared" si="95"/>
        <v>0</v>
      </c>
      <c r="AI105" s="32">
        <f t="shared" si="95"/>
        <v>0</v>
      </c>
      <c r="AJ105" s="43">
        <f>SUM(X105:AI105)</f>
        <v>11357790</v>
      </c>
      <c r="BA105" s="34"/>
    </row>
    <row r="106" spans="2:53" s="16" customFormat="1">
      <c r="B106" s="16">
        <f>AVERAGE(G109:O109)</f>
        <v>4.0958888888888891</v>
      </c>
      <c r="E106" s="370"/>
      <c r="F106" s="34" t="s">
        <v>741</v>
      </c>
      <c r="G106" s="17">
        <f t="shared" ref="G106:O106" si="96">G105/(G85+G89)</f>
        <v>5.0407142857142855</v>
      </c>
      <c r="H106" s="17">
        <f t="shared" si="96"/>
        <v>5.0814285714285718</v>
      </c>
      <c r="I106" s="17">
        <f t="shared" si="96"/>
        <v>4.3499999999999996</v>
      </c>
      <c r="J106" s="17">
        <f t="shared" si="96"/>
        <v>4.4121428571428574</v>
      </c>
      <c r="K106" s="17">
        <f t="shared" si="96"/>
        <v>4.40551724137931</v>
      </c>
      <c r="L106" s="17">
        <f t="shared" si="96"/>
        <v>4.269166666666667</v>
      </c>
      <c r="M106" s="17">
        <f t="shared" si="96"/>
        <v>4.269166666666667</v>
      </c>
      <c r="N106" s="17">
        <f t="shared" si="96"/>
        <v>4.269166666666667</v>
      </c>
      <c r="O106" s="17">
        <f t="shared" si="96"/>
        <v>4.2738235294117644</v>
      </c>
      <c r="P106" s="17"/>
      <c r="Q106" s="17"/>
      <c r="R106" s="17"/>
      <c r="S106" s="17">
        <f>S105/(S85+S89)</f>
        <v>4.3613326835607538</v>
      </c>
      <c r="W106" s="34" t="s">
        <v>741</v>
      </c>
      <c r="X106" s="16">
        <f t="shared" ref="X106:AF106" si="97">X105/X85</f>
        <v>5.9236666666666666</v>
      </c>
      <c r="Y106" s="16">
        <f t="shared" si="97"/>
        <v>5.9366666666666665</v>
      </c>
      <c r="Z106" s="16">
        <f t="shared" si="97"/>
        <v>5.5606666666666671</v>
      </c>
      <c r="AA106" s="16">
        <f t="shared" si="97"/>
        <v>5.581666666666667</v>
      </c>
      <c r="AB106" s="16">
        <f t="shared" si="97"/>
        <v>6.9870000000000001</v>
      </c>
      <c r="AC106" s="16">
        <f t="shared" si="97"/>
        <v>7.6779999999999999</v>
      </c>
      <c r="AD106" s="16">
        <f t="shared" si="97"/>
        <v>7.7750000000000004</v>
      </c>
      <c r="AE106" s="16">
        <f t="shared" si="97"/>
        <v>7.7759999999999998</v>
      </c>
      <c r="AF106" s="16">
        <f t="shared" si="97"/>
        <v>7.2779999999999996</v>
      </c>
      <c r="AJ106" s="34">
        <f>(X85*X106+Y85*Y106+Z85*Z106+AA85*AA106+AB85*AB106+AC85*AC106+AD85*AD106+AE85*AE106+AF85*AF106+AG85*AG106+AH85*AH106+AI85*AI106)/AJ85</f>
        <v>6.5410341753343237</v>
      </c>
      <c r="BA106" s="34"/>
    </row>
    <row r="107" spans="2:53">
      <c r="F107" s="11" t="s">
        <v>93</v>
      </c>
      <c r="G107" s="22">
        <f>G39-G43-G85-G89</f>
        <v>1015446.3663415962</v>
      </c>
      <c r="H107" s="22">
        <f t="shared" ref="H107:R107" si="98">H39-H43-H85-H89</f>
        <v>965783.40142931556</v>
      </c>
      <c r="I107" s="22">
        <f t="shared" si="98"/>
        <v>638691.34616887954</v>
      </c>
      <c r="J107" s="22">
        <f t="shared" si="98"/>
        <v>1184017.9788499936</v>
      </c>
      <c r="K107" s="22">
        <f t="shared" si="98"/>
        <v>807612.85692517925</v>
      </c>
      <c r="L107" s="22">
        <f t="shared" si="98"/>
        <v>537692.33428764157</v>
      </c>
      <c r="M107" s="22">
        <f t="shared" si="98"/>
        <v>912516.73304961715</v>
      </c>
      <c r="N107" s="22">
        <f t="shared" si="98"/>
        <v>830945.2276712968</v>
      </c>
      <c r="O107" s="22">
        <f t="shared" si="98"/>
        <v>295232.53772972361</v>
      </c>
      <c r="P107" s="22">
        <f t="shared" si="98"/>
        <v>1075957.8394434336</v>
      </c>
      <c r="Q107" s="22">
        <f t="shared" si="98"/>
        <v>707414.42154926015</v>
      </c>
      <c r="R107" s="22">
        <f t="shared" si="98"/>
        <v>412224.68389594206</v>
      </c>
      <c r="S107" s="131">
        <f>SUM(G107:R107)</f>
        <v>9383535.7273418792</v>
      </c>
      <c r="T107" s="124">
        <f>S107/S39</f>
        <v>0.54595003473444881</v>
      </c>
      <c r="W107" s="11" t="s">
        <v>93</v>
      </c>
      <c r="X107" s="22">
        <f>X39-X43-X85-X89</f>
        <v>384340.90585463447</v>
      </c>
      <c r="Y107" s="22">
        <f t="shared" ref="Y107:AI107" si="99">Y39-Y43-Y85-Y89</f>
        <v>400470.93427568697</v>
      </c>
      <c r="Z107" s="22">
        <f t="shared" si="99"/>
        <v>421421.28364133602</v>
      </c>
      <c r="AA107" s="22">
        <f t="shared" si="99"/>
        <v>1016071.12096318</v>
      </c>
      <c r="AB107" s="22">
        <f t="shared" si="99"/>
        <v>1217052.9348683055</v>
      </c>
      <c r="AC107" s="22">
        <f t="shared" si="99"/>
        <v>870891.91212737886</v>
      </c>
      <c r="AD107" s="22">
        <f t="shared" si="99"/>
        <v>1045753.0133670189</v>
      </c>
      <c r="AE107" s="22">
        <f t="shared" si="99"/>
        <v>806275.82904091896</v>
      </c>
      <c r="AF107" s="22">
        <f t="shared" si="99"/>
        <v>999085.01765087503</v>
      </c>
      <c r="AG107" s="22">
        <f t="shared" si="99"/>
        <v>1297932.1974588383</v>
      </c>
      <c r="AH107" s="22">
        <f t="shared" si="99"/>
        <v>941664.08965151291</v>
      </c>
      <c r="AI107" s="22">
        <f t="shared" si="99"/>
        <v>701696.23580725817</v>
      </c>
      <c r="AJ107" s="59">
        <f>SUM(X107:AI107)</f>
        <v>10102655.474706944</v>
      </c>
      <c r="AN107" s="11" t="s">
        <v>93</v>
      </c>
      <c r="AO107" s="22">
        <f t="shared" ref="AO107:AZ107" si="100">AO39-AO85</f>
        <v>1055339.3865219948</v>
      </c>
      <c r="AP107" s="22">
        <f t="shared" si="100"/>
        <v>1071469.4149430476</v>
      </c>
      <c r="AQ107" s="22">
        <f t="shared" si="100"/>
        <v>960503.19147521956</v>
      </c>
      <c r="AR107" s="22">
        <f t="shared" si="100"/>
        <v>1466139.9147850666</v>
      </c>
      <c r="AS107" s="22">
        <f t="shared" si="100"/>
        <v>1779116.9851945811</v>
      </c>
      <c r="AT107" s="22">
        <f t="shared" si="100"/>
        <v>1625659.8564716489</v>
      </c>
      <c r="AU107" s="22">
        <f t="shared" si="100"/>
        <v>1802899.3967932381</v>
      </c>
      <c r="AV107" s="22">
        <f t="shared" si="100"/>
        <v>1508474.0959470435</v>
      </c>
      <c r="AW107" s="22">
        <f t="shared" si="100"/>
        <v>1573906.6285091604</v>
      </c>
      <c r="AX107" s="22">
        <f t="shared" si="100"/>
        <v>1648599.6243497522</v>
      </c>
      <c r="AY107" s="22">
        <f t="shared" si="100"/>
        <v>1297969.0520330754</v>
      </c>
      <c r="AZ107" s="22">
        <f t="shared" si="100"/>
        <v>1057288.6534310195</v>
      </c>
      <c r="BA107" s="59">
        <f>SUM(AO107:AZ107)</f>
        <v>16847366.20045485</v>
      </c>
    </row>
    <row r="108" spans="2:53">
      <c r="F108" s="10" t="s">
        <v>97</v>
      </c>
      <c r="G108" s="22">
        <f t="shared" ref="G108:S108" si="101">G107/G1</f>
        <v>32756.334398116007</v>
      </c>
      <c r="H108" s="22">
        <f t="shared" si="101"/>
        <v>31154.303271913406</v>
      </c>
      <c r="I108" s="22">
        <f t="shared" si="101"/>
        <v>21289.711538962652</v>
      </c>
      <c r="J108" s="22">
        <f t="shared" si="101"/>
        <v>38194.128349999795</v>
      </c>
      <c r="K108" s="22">
        <f t="shared" si="101"/>
        <v>26920.428564172642</v>
      </c>
      <c r="L108" s="22">
        <f t="shared" si="101"/>
        <v>17344.91400927876</v>
      </c>
      <c r="M108" s="22">
        <f t="shared" si="101"/>
        <v>29436.023646761845</v>
      </c>
      <c r="N108" s="22">
        <f t="shared" si="101"/>
        <v>29676.615273974887</v>
      </c>
      <c r="O108" s="22">
        <f t="shared" si="101"/>
        <v>9523.6302493459225</v>
      </c>
      <c r="P108" s="22">
        <f t="shared" si="101"/>
        <v>35865.261314781121</v>
      </c>
      <c r="Q108" s="22">
        <f t="shared" si="101"/>
        <v>22819.820049976133</v>
      </c>
      <c r="R108" s="22">
        <f t="shared" si="101"/>
        <v>13740.822796531402</v>
      </c>
      <c r="S108" s="28">
        <f t="shared" si="101"/>
        <v>25708.31706121063</v>
      </c>
      <c r="W108" s="10" t="s">
        <v>97</v>
      </c>
      <c r="X108" s="22">
        <f t="shared" ref="X108:AJ108" si="102">X107/X1</f>
        <v>12398.093737246274</v>
      </c>
      <c r="Y108" s="22">
        <f t="shared" si="102"/>
        <v>12918.41723469958</v>
      </c>
      <c r="Z108" s="22">
        <f t="shared" si="102"/>
        <v>14047.376121377867</v>
      </c>
      <c r="AA108" s="22">
        <f t="shared" si="102"/>
        <v>32776.487773005807</v>
      </c>
      <c r="AB108" s="22">
        <f t="shared" si="102"/>
        <v>40568.431162276851</v>
      </c>
      <c r="AC108" s="22">
        <f t="shared" si="102"/>
        <v>28093.287487979964</v>
      </c>
      <c r="AD108" s="22">
        <f t="shared" si="102"/>
        <v>33733.968173129644</v>
      </c>
      <c r="AE108" s="22">
        <f t="shared" si="102"/>
        <v>27802.614794514448</v>
      </c>
      <c r="AF108" s="22">
        <f t="shared" si="102"/>
        <v>32228.548956479841</v>
      </c>
      <c r="AG108" s="22">
        <f t="shared" si="102"/>
        <v>43264.406581961281</v>
      </c>
      <c r="AH108" s="22">
        <f t="shared" si="102"/>
        <v>30376.260956500417</v>
      </c>
      <c r="AI108" s="22">
        <f t="shared" si="102"/>
        <v>23389.874526908607</v>
      </c>
      <c r="AJ108" s="22">
        <f t="shared" si="102"/>
        <v>27602.88381067471</v>
      </c>
      <c r="AN108" s="10" t="s">
        <v>97</v>
      </c>
      <c r="AO108" s="22">
        <f t="shared" ref="AO108:BA108" si="103">AO107/AO1</f>
        <v>34043.206016838543</v>
      </c>
      <c r="AP108" s="22">
        <f t="shared" si="103"/>
        <v>34563.529514291855</v>
      </c>
      <c r="AQ108" s="22">
        <f t="shared" si="103"/>
        <v>32016.773049173986</v>
      </c>
      <c r="AR108" s="22">
        <f t="shared" si="103"/>
        <v>47294.835960808603</v>
      </c>
      <c r="AS108" s="22">
        <f t="shared" si="103"/>
        <v>59303.899506486036</v>
      </c>
      <c r="AT108" s="22">
        <f t="shared" si="103"/>
        <v>52440.64053134351</v>
      </c>
      <c r="AU108" s="22">
        <f t="shared" si="103"/>
        <v>58158.045057846393</v>
      </c>
      <c r="AV108" s="22">
        <f t="shared" si="103"/>
        <v>53874.074855251551</v>
      </c>
      <c r="AW108" s="22">
        <f t="shared" si="103"/>
        <v>50771.181564811624</v>
      </c>
      <c r="AX108" s="22">
        <f t="shared" si="103"/>
        <v>54953.320811658406</v>
      </c>
      <c r="AY108" s="22">
        <f t="shared" si="103"/>
        <v>41869.969420421789</v>
      </c>
      <c r="AZ108" s="22">
        <f t="shared" si="103"/>
        <v>35242.955114367316</v>
      </c>
      <c r="BA108" s="22">
        <f t="shared" si="103"/>
        <v>46157.167672479038</v>
      </c>
    </row>
    <row r="109" spans="2:53">
      <c r="E109" s="372"/>
      <c r="F109" s="10" t="s">
        <v>98</v>
      </c>
      <c r="G109" s="315">
        <v>4.7169999999999996</v>
      </c>
      <c r="H109" s="315">
        <v>4.774</v>
      </c>
      <c r="I109" s="315">
        <v>3.6509999999999998</v>
      </c>
      <c r="J109" s="315">
        <v>3.8370000000000002</v>
      </c>
      <c r="K109" s="315">
        <v>3.2919999999999998</v>
      </c>
      <c r="L109" s="315">
        <v>4.2670000000000003</v>
      </c>
      <c r="M109" s="315">
        <v>4.2160000000000002</v>
      </c>
      <c r="N109" s="428">
        <v>4.3159999999999998</v>
      </c>
      <c r="O109" s="315">
        <v>3.7930000000000001</v>
      </c>
      <c r="P109" s="315">
        <v>4.24</v>
      </c>
      <c r="Q109" s="315">
        <v>4.3769999999999998</v>
      </c>
      <c r="R109" s="315">
        <v>4.3259999999999996</v>
      </c>
      <c r="S109" s="197">
        <f>(G107*G109+H107*H109+I107*I109+J107*J109+K107*K109+L107*L109+M107*M109+N107*N109+O107*O109+P107*P109+Q107*Q109+R107*R109)/S107</f>
        <v>4.1800330624788282</v>
      </c>
      <c r="V109" s="145">
        <v>0</v>
      </c>
      <c r="W109" s="10" t="s">
        <v>98</v>
      </c>
      <c r="X109" s="470">
        <v>4.3570000000000002</v>
      </c>
      <c r="Y109" s="452">
        <v>4.37</v>
      </c>
      <c r="Z109" s="441">
        <v>3.9940000000000002</v>
      </c>
      <c r="AA109" s="441">
        <v>4.0149999999999997</v>
      </c>
      <c r="AB109" s="441">
        <v>4.1669999999999998</v>
      </c>
      <c r="AC109" s="441">
        <v>4.3879999999999999</v>
      </c>
      <c r="AD109" s="441">
        <v>4.4850000000000003</v>
      </c>
      <c r="AE109" s="441">
        <v>4.4859999999999998</v>
      </c>
      <c r="AF109" s="441">
        <v>4.4580000000000002</v>
      </c>
      <c r="AG109" s="441">
        <v>4.4130000000000003</v>
      </c>
      <c r="AH109" s="441">
        <v>4.4390000000000001</v>
      </c>
      <c r="AI109" s="441">
        <v>4.4710000000000001</v>
      </c>
      <c r="AJ109" s="34">
        <f>AJ115/AJ107</f>
        <v>4.3440488554092447</v>
      </c>
      <c r="AM109" s="145">
        <v>0</v>
      </c>
      <c r="AN109" s="10" t="s">
        <v>98</v>
      </c>
      <c r="AO109" s="441">
        <v>4.51</v>
      </c>
      <c r="AP109" s="441">
        <v>4.5339999999999998</v>
      </c>
      <c r="AQ109" s="441">
        <v>4.5380000000000003</v>
      </c>
      <c r="AR109" s="441">
        <v>4.57</v>
      </c>
      <c r="AS109" s="441">
        <v>4.7300000000000004</v>
      </c>
      <c r="AT109" s="441">
        <v>4.9630000000000001</v>
      </c>
      <c r="AU109" s="441">
        <v>5.09</v>
      </c>
      <c r="AV109" s="441">
        <v>5.0629999999999997</v>
      </c>
      <c r="AW109" s="441">
        <v>4.9939999999999998</v>
      </c>
      <c r="AX109" s="441">
        <v>4.8259999999999996</v>
      </c>
      <c r="AY109" s="441">
        <v>4.8380000000000001</v>
      </c>
      <c r="AZ109" s="441">
        <v>4.8730000000000002</v>
      </c>
      <c r="BA109" s="34">
        <f>BA115/BA107</f>
        <v>4.8210594905181132</v>
      </c>
    </row>
    <row r="110" spans="2:53">
      <c r="E110" s="373"/>
      <c r="F110" s="10" t="s">
        <v>447</v>
      </c>
      <c r="G110" s="28">
        <f>SUM(G18:G20)</f>
        <v>155000</v>
      </c>
      <c r="H110" s="28">
        <f t="shared" ref="H110:R110" si="104">SUM(H18:H20)</f>
        <v>155000</v>
      </c>
      <c r="I110" s="28">
        <f t="shared" si="104"/>
        <v>150000</v>
      </c>
      <c r="J110" s="28">
        <f t="shared" si="104"/>
        <v>155000</v>
      </c>
      <c r="K110" s="28">
        <f t="shared" si="104"/>
        <v>150000</v>
      </c>
      <c r="L110" s="28">
        <f t="shared" si="104"/>
        <v>155000</v>
      </c>
      <c r="M110" s="28">
        <f t="shared" si="104"/>
        <v>155000</v>
      </c>
      <c r="N110" s="28">
        <f t="shared" si="104"/>
        <v>140000</v>
      </c>
      <c r="O110" s="28">
        <f t="shared" si="104"/>
        <v>155000</v>
      </c>
      <c r="P110" s="28">
        <f t="shared" si="104"/>
        <v>150000</v>
      </c>
      <c r="Q110" s="28">
        <f t="shared" si="104"/>
        <v>155000</v>
      </c>
      <c r="R110" s="28">
        <f t="shared" si="104"/>
        <v>150000</v>
      </c>
      <c r="S110" s="131">
        <f>SUM(G110:R110)</f>
        <v>1825000</v>
      </c>
      <c r="V110" s="220"/>
      <c r="W110" s="10" t="s">
        <v>447</v>
      </c>
      <c r="X110" s="28">
        <f t="shared" ref="X110:AI110" si="105">SUM(X18:X20)</f>
        <v>155000</v>
      </c>
      <c r="Y110" s="28">
        <f t="shared" si="105"/>
        <v>155000</v>
      </c>
      <c r="Z110" s="28">
        <f t="shared" si="105"/>
        <v>150000</v>
      </c>
      <c r="AA110" s="28">
        <f t="shared" si="105"/>
        <v>155000</v>
      </c>
      <c r="AB110" s="28">
        <f t="shared" si="105"/>
        <v>150000</v>
      </c>
      <c r="AC110" s="28">
        <f t="shared" si="105"/>
        <v>155000</v>
      </c>
      <c r="AD110" s="28">
        <f t="shared" si="105"/>
        <v>155000</v>
      </c>
      <c r="AE110" s="28">
        <f t="shared" si="105"/>
        <v>145000</v>
      </c>
      <c r="AF110" s="28">
        <f t="shared" si="105"/>
        <v>155000</v>
      </c>
      <c r="AG110" s="28">
        <f t="shared" si="105"/>
        <v>150000</v>
      </c>
      <c r="AH110" s="28">
        <f t="shared" si="105"/>
        <v>155000</v>
      </c>
      <c r="AI110" s="28">
        <f t="shared" si="105"/>
        <v>150000</v>
      </c>
      <c r="AJ110" s="59">
        <f>SUM(X110:AI110)</f>
        <v>1830000</v>
      </c>
      <c r="AM110" s="220"/>
      <c r="AN110" s="10" t="s">
        <v>447</v>
      </c>
      <c r="AO110" s="28">
        <f t="shared" ref="AO110:AZ110" si="106">SUM(AO18:AO20)</f>
        <v>155000</v>
      </c>
      <c r="AP110" s="28">
        <f t="shared" si="106"/>
        <v>155000</v>
      </c>
      <c r="AQ110" s="28">
        <f t="shared" si="106"/>
        <v>150000</v>
      </c>
      <c r="AR110" s="28">
        <f t="shared" si="106"/>
        <v>155000</v>
      </c>
      <c r="AS110" s="28">
        <f t="shared" si="106"/>
        <v>370000</v>
      </c>
      <c r="AT110" s="28">
        <f t="shared" si="106"/>
        <v>220000</v>
      </c>
      <c r="AU110" s="28">
        <f t="shared" si="106"/>
        <v>280000</v>
      </c>
      <c r="AV110" s="28">
        <f t="shared" si="106"/>
        <v>235000</v>
      </c>
      <c r="AW110" s="28">
        <f t="shared" si="106"/>
        <v>325000</v>
      </c>
      <c r="AX110" s="28">
        <f t="shared" si="106"/>
        <v>150000</v>
      </c>
      <c r="AY110" s="28">
        <f t="shared" si="106"/>
        <v>155000</v>
      </c>
      <c r="AZ110" s="28">
        <f t="shared" si="106"/>
        <v>150000</v>
      </c>
      <c r="BA110" s="59">
        <f>SUM(AO110:AZ110)</f>
        <v>2500000</v>
      </c>
    </row>
    <row r="111" spans="2:53">
      <c r="E111" s="373">
        <f>AVERAGE(G111:J111)</f>
        <v>0.11</v>
      </c>
      <c r="F111" s="10" t="s">
        <v>441</v>
      </c>
      <c r="G111" s="317">
        <v>0.14599999999999999</v>
      </c>
      <c r="H111" s="317">
        <v>0.16800000000000001</v>
      </c>
      <c r="I111" s="317">
        <v>0.05</v>
      </c>
      <c r="J111" s="317">
        <v>7.5999999999999998E-2</v>
      </c>
      <c r="K111" s="317">
        <v>0.123</v>
      </c>
      <c r="L111" s="317">
        <v>0.218</v>
      </c>
      <c r="M111" s="317">
        <v>0.35299999999999998</v>
      </c>
      <c r="N111" s="429">
        <v>0.20499999999999999</v>
      </c>
      <c r="O111" s="317">
        <v>0.14000000000000001</v>
      </c>
      <c r="P111" s="317">
        <v>0.219</v>
      </c>
      <c r="Q111" s="317">
        <v>0.182</v>
      </c>
      <c r="R111" s="317">
        <v>0.15</v>
      </c>
      <c r="S111" s="197">
        <f>S112/S110</f>
        <v>0.16924109589041095</v>
      </c>
      <c r="V111" s="220"/>
      <c r="W111" s="10" t="s">
        <v>441</v>
      </c>
      <c r="X111" s="470">
        <v>0.13700000000000001</v>
      </c>
      <c r="Y111" s="470">
        <v>0.11799999999999999</v>
      </c>
      <c r="Z111" s="325">
        <v>7.0000000000000007E-2</v>
      </c>
      <c r="AA111" s="325">
        <v>7.4999999999999997E-2</v>
      </c>
      <c r="AB111" s="325">
        <v>0.13</v>
      </c>
      <c r="AC111" s="325">
        <v>0.13</v>
      </c>
      <c r="AD111" s="325">
        <v>0.13</v>
      </c>
      <c r="AE111" s="325">
        <v>0.13</v>
      </c>
      <c r="AF111" s="325">
        <v>0.13</v>
      </c>
      <c r="AG111" s="325">
        <v>5.5E-2</v>
      </c>
      <c r="AH111" s="325">
        <v>5.5E-2</v>
      </c>
      <c r="AI111" s="325">
        <v>5.5E-2</v>
      </c>
      <c r="AJ111" s="34">
        <f>AJ112/AJ110</f>
        <v>0.10135245901639345</v>
      </c>
      <c r="AM111" s="220"/>
      <c r="AN111" s="10" t="s">
        <v>441</v>
      </c>
      <c r="AO111" s="325">
        <v>5.5E-2</v>
      </c>
      <c r="AP111" s="325">
        <v>5.5E-2</v>
      </c>
      <c r="AQ111" s="325">
        <v>5.5E-2</v>
      </c>
      <c r="AR111" s="325">
        <v>5.5E-2</v>
      </c>
      <c r="AS111" s="325">
        <v>0.01</v>
      </c>
      <c r="AT111" s="325">
        <v>0.01</v>
      </c>
      <c r="AU111" s="325">
        <v>0.01</v>
      </c>
      <c r="AV111" s="325">
        <v>0.01</v>
      </c>
      <c r="AW111" s="325">
        <v>0.01</v>
      </c>
      <c r="AX111" s="325">
        <v>-1.7500000000000002E-2</v>
      </c>
      <c r="AY111" s="325">
        <v>-1.7500000000000002E-2</v>
      </c>
      <c r="AZ111" s="325">
        <v>-1.7500000000000002E-2</v>
      </c>
      <c r="BA111" s="34">
        <f>BA112/BA110</f>
        <v>1.6064999999999999E-2</v>
      </c>
    </row>
    <row r="112" spans="2:53">
      <c r="E112" s="373"/>
      <c r="F112" s="10" t="s">
        <v>442</v>
      </c>
      <c r="G112" s="39">
        <f>G110*G111</f>
        <v>22630</v>
      </c>
      <c r="H112" s="39">
        <f t="shared" ref="H112:R112" si="107">H110*H111</f>
        <v>26040</v>
      </c>
      <c r="I112" s="39">
        <f t="shared" si="107"/>
        <v>7500</v>
      </c>
      <c r="J112" s="39">
        <f t="shared" si="107"/>
        <v>11780</v>
      </c>
      <c r="K112" s="39">
        <f t="shared" si="107"/>
        <v>18450</v>
      </c>
      <c r="L112" s="39">
        <f t="shared" si="107"/>
        <v>33790</v>
      </c>
      <c r="M112" s="39">
        <f t="shared" si="107"/>
        <v>54715</v>
      </c>
      <c r="N112" s="39">
        <f t="shared" si="107"/>
        <v>28700</v>
      </c>
      <c r="O112" s="39">
        <f t="shared" si="107"/>
        <v>21700.000000000004</v>
      </c>
      <c r="P112" s="39">
        <f t="shared" si="107"/>
        <v>32850</v>
      </c>
      <c r="Q112" s="39">
        <f t="shared" si="107"/>
        <v>28210</v>
      </c>
      <c r="R112" s="39">
        <f t="shared" si="107"/>
        <v>22500</v>
      </c>
      <c r="S112" s="199">
        <f>SUM(G112:R112)</f>
        <v>308865</v>
      </c>
      <c r="V112" s="220"/>
      <c r="W112" s="10" t="s">
        <v>442</v>
      </c>
      <c r="X112" s="39">
        <f>X110*X111</f>
        <v>21235</v>
      </c>
      <c r="Y112" s="39">
        <f t="shared" ref="Y112:AI112" si="108">Y110*Y111</f>
        <v>18290</v>
      </c>
      <c r="Z112" s="39">
        <f t="shared" si="108"/>
        <v>10500.000000000002</v>
      </c>
      <c r="AA112" s="39">
        <f t="shared" si="108"/>
        <v>11625</v>
      </c>
      <c r="AB112" s="39">
        <f t="shared" si="108"/>
        <v>19500</v>
      </c>
      <c r="AC112" s="39">
        <f t="shared" si="108"/>
        <v>20150</v>
      </c>
      <c r="AD112" s="39">
        <f t="shared" si="108"/>
        <v>20150</v>
      </c>
      <c r="AE112" s="39">
        <f t="shared" si="108"/>
        <v>18850</v>
      </c>
      <c r="AF112" s="39">
        <f t="shared" si="108"/>
        <v>20150</v>
      </c>
      <c r="AG112" s="39">
        <f t="shared" si="108"/>
        <v>8250</v>
      </c>
      <c r="AH112" s="39">
        <f t="shared" si="108"/>
        <v>8525</v>
      </c>
      <c r="AI112" s="39">
        <f t="shared" si="108"/>
        <v>8250</v>
      </c>
      <c r="AJ112" s="43">
        <f>SUM(X112:AI112)</f>
        <v>185475</v>
      </c>
      <c r="AM112" s="220"/>
      <c r="AN112" s="10" t="s">
        <v>442</v>
      </c>
      <c r="AO112" s="39">
        <f>AO110*AO111</f>
        <v>8525</v>
      </c>
      <c r="AP112" s="39">
        <f t="shared" ref="AP112:AZ112" si="109">AP110*AP111</f>
        <v>8525</v>
      </c>
      <c r="AQ112" s="39">
        <f t="shared" si="109"/>
        <v>8250</v>
      </c>
      <c r="AR112" s="39">
        <f t="shared" si="109"/>
        <v>8525</v>
      </c>
      <c r="AS112" s="39">
        <f t="shared" si="109"/>
        <v>3700</v>
      </c>
      <c r="AT112" s="39">
        <f t="shared" si="109"/>
        <v>2200</v>
      </c>
      <c r="AU112" s="39">
        <f t="shared" si="109"/>
        <v>2800</v>
      </c>
      <c r="AV112" s="39">
        <f t="shared" si="109"/>
        <v>2350</v>
      </c>
      <c r="AW112" s="39">
        <f t="shared" si="109"/>
        <v>3250</v>
      </c>
      <c r="AX112" s="39">
        <f t="shared" si="109"/>
        <v>-2625.0000000000005</v>
      </c>
      <c r="AY112" s="39">
        <f t="shared" si="109"/>
        <v>-2712.5000000000005</v>
      </c>
      <c r="AZ112" s="39">
        <f t="shared" si="109"/>
        <v>-2625.0000000000005</v>
      </c>
      <c r="BA112" s="43">
        <f>SUM(AO112:AZ112)</f>
        <v>40162.5</v>
      </c>
    </row>
    <row r="113" spans="3:53">
      <c r="E113" s="373"/>
      <c r="F113" s="10" t="s">
        <v>817</v>
      </c>
      <c r="G113" s="39"/>
      <c r="H113" s="39"/>
      <c r="I113" s="39"/>
      <c r="J113" s="39"/>
      <c r="K113" s="317">
        <v>7.0000000000000007E-2</v>
      </c>
      <c r="L113" s="317">
        <v>0.14499999999999999</v>
      </c>
      <c r="M113" s="317">
        <v>0.16700000000000001</v>
      </c>
      <c r="N113" s="317">
        <v>0.155</v>
      </c>
      <c r="O113" s="317">
        <v>0.109</v>
      </c>
      <c r="P113" s="197"/>
      <c r="Q113" s="197"/>
      <c r="R113" s="39"/>
      <c r="S113" s="199"/>
      <c r="V113" s="220"/>
      <c r="W113" s="10" t="s">
        <v>817</v>
      </c>
      <c r="X113" s="39"/>
      <c r="Y113" s="39"/>
      <c r="Z113" s="39"/>
      <c r="AA113" s="39"/>
      <c r="AB113" s="325">
        <v>7.7499999999999999E-2</v>
      </c>
      <c r="AC113" s="325">
        <v>7.7499999999999999E-2</v>
      </c>
      <c r="AD113" s="325">
        <v>7.7499999999999999E-2</v>
      </c>
      <c r="AE113" s="325">
        <v>7.7499999999999999E-2</v>
      </c>
      <c r="AF113" s="325">
        <v>7.7499999999999999E-2</v>
      </c>
      <c r="AG113" s="39"/>
      <c r="AH113" s="39"/>
      <c r="AI113" s="39"/>
      <c r="AJ113" s="43"/>
      <c r="AM113" s="220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43"/>
    </row>
    <row r="114" spans="3:53">
      <c r="E114" s="373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199"/>
      <c r="V114" s="220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43"/>
      <c r="AM114" s="220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43"/>
    </row>
    <row r="115" spans="3:53" s="10" customFormat="1">
      <c r="E115" s="370"/>
      <c r="F115" s="11" t="s">
        <v>99</v>
      </c>
      <c r="G115" s="32">
        <f>(G107*G109)+G112</f>
        <v>4812490.5100333095</v>
      </c>
      <c r="H115" s="32">
        <f t="shared" ref="H115:R115" si="110">(H107*H109)+H112</f>
        <v>4636689.9584235521</v>
      </c>
      <c r="I115" s="32">
        <f t="shared" si="110"/>
        <v>2339362.1048625791</v>
      </c>
      <c r="J115" s="32">
        <f t="shared" si="110"/>
        <v>4554856.9848474255</v>
      </c>
      <c r="K115" s="32">
        <f t="shared" si="110"/>
        <v>2677111.5249976898</v>
      </c>
      <c r="L115" s="32">
        <f t="shared" si="110"/>
        <v>2328123.1904053669</v>
      </c>
      <c r="M115" s="32">
        <f t="shared" si="110"/>
        <v>3901885.546537186</v>
      </c>
      <c r="N115" s="32">
        <f t="shared" si="110"/>
        <v>3615059.602629317</v>
      </c>
      <c r="O115" s="32">
        <f t="shared" si="110"/>
        <v>1141517.0156088418</v>
      </c>
      <c r="P115" s="32">
        <f t="shared" si="110"/>
        <v>4594911.2392401583</v>
      </c>
      <c r="Q115" s="32">
        <f t="shared" si="110"/>
        <v>3124562.9231211115</v>
      </c>
      <c r="R115" s="32">
        <f t="shared" si="110"/>
        <v>1805783.9825338451</v>
      </c>
      <c r="S115" s="199">
        <f>SUM(G115:R115)</f>
        <v>39532354.583240375</v>
      </c>
      <c r="T115" s="175"/>
      <c r="W115" s="11" t="s">
        <v>99</v>
      </c>
      <c r="X115" s="32">
        <f>X107*X109</f>
        <v>1674573.3268086426</v>
      </c>
      <c r="Y115" s="32">
        <f t="shared" ref="Y115:AI115" si="111">Y107*Y109</f>
        <v>1750057.982784752</v>
      </c>
      <c r="Z115" s="32">
        <f t="shared" si="111"/>
        <v>1683156.6068634961</v>
      </c>
      <c r="AA115" s="32">
        <f t="shared" si="111"/>
        <v>4079525.5506671672</v>
      </c>
      <c r="AB115" s="32">
        <f t="shared" si="111"/>
        <v>5071459.5795962289</v>
      </c>
      <c r="AC115" s="32">
        <f t="shared" si="111"/>
        <v>3821473.7104149382</v>
      </c>
      <c r="AD115" s="32">
        <f t="shared" si="111"/>
        <v>4690202.2649510801</v>
      </c>
      <c r="AE115" s="32">
        <f t="shared" si="111"/>
        <v>3616953.3690775624</v>
      </c>
      <c r="AF115" s="32">
        <f t="shared" si="111"/>
        <v>4453921.0086876014</v>
      </c>
      <c r="AG115" s="32">
        <f t="shared" si="111"/>
        <v>5727774.7873858539</v>
      </c>
      <c r="AH115" s="32">
        <f t="shared" si="111"/>
        <v>4180046.8939630659</v>
      </c>
      <c r="AI115" s="32">
        <f t="shared" si="111"/>
        <v>3137283.8702942515</v>
      </c>
      <c r="AJ115" s="43">
        <f>SUM(X115:AI115)</f>
        <v>43886428.951494642</v>
      </c>
      <c r="AN115" s="11" t="s">
        <v>99</v>
      </c>
      <c r="AO115" s="32">
        <f t="shared" ref="AO115:AZ115" si="112">AO107*AO109</f>
        <v>4759580.6332141962</v>
      </c>
      <c r="AP115" s="32">
        <f t="shared" si="112"/>
        <v>4858042.3273517778</v>
      </c>
      <c r="AQ115" s="32">
        <f t="shared" si="112"/>
        <v>4358763.4829145465</v>
      </c>
      <c r="AR115" s="32">
        <f t="shared" si="112"/>
        <v>6700259.4105677549</v>
      </c>
      <c r="AS115" s="32">
        <f t="shared" si="112"/>
        <v>8415223.3399703689</v>
      </c>
      <c r="AT115" s="32">
        <f t="shared" si="112"/>
        <v>8068149.8676687935</v>
      </c>
      <c r="AU115" s="32">
        <f t="shared" si="112"/>
        <v>9176757.9296775814</v>
      </c>
      <c r="AV115" s="32">
        <f t="shared" si="112"/>
        <v>7637404.3477798812</v>
      </c>
      <c r="AW115" s="32">
        <f t="shared" si="112"/>
        <v>7860089.7027747463</v>
      </c>
      <c r="AX115" s="32">
        <f t="shared" si="112"/>
        <v>7956141.7871119035</v>
      </c>
      <c r="AY115" s="32">
        <f t="shared" si="112"/>
        <v>6279574.2737360187</v>
      </c>
      <c r="AZ115" s="32">
        <f t="shared" si="112"/>
        <v>5152167.6081693582</v>
      </c>
      <c r="BA115" s="43">
        <f>SUM(AO115:AZ115)</f>
        <v>81222154.710936934</v>
      </c>
    </row>
    <row r="116" spans="3:53" s="10" customFormat="1">
      <c r="E116" s="370"/>
      <c r="F116" s="10" t="s">
        <v>105</v>
      </c>
      <c r="G116" s="32">
        <f t="shared" ref="G116:R116" si="113">SUM(G45,G105,G115)</f>
        <v>6875630.4100333098</v>
      </c>
      <c r="H116" s="32">
        <f t="shared" si="113"/>
        <v>6724037.7584235519</v>
      </c>
      <c r="I116" s="32">
        <f t="shared" si="113"/>
        <v>3538837.1048625791</v>
      </c>
      <c r="J116" s="32">
        <f t="shared" si="113"/>
        <v>5455152.7848474253</v>
      </c>
      <c r="K116" s="32">
        <f t="shared" si="113"/>
        <v>5476111.5249976898</v>
      </c>
      <c r="L116" s="32">
        <f t="shared" si="113"/>
        <v>6531723.1904053669</v>
      </c>
      <c r="M116" s="32">
        <f t="shared" si="113"/>
        <v>8081770.546537186</v>
      </c>
      <c r="N116" s="32">
        <f t="shared" si="113"/>
        <v>7432439.602629317</v>
      </c>
      <c r="O116" s="32">
        <f t="shared" si="113"/>
        <v>4461152.0156088416</v>
      </c>
      <c r="P116" s="32">
        <f t="shared" si="113"/>
        <v>6564201.2392401583</v>
      </c>
      <c r="Q116" s="32">
        <f t="shared" si="113"/>
        <v>5904639.8231211118</v>
      </c>
      <c r="R116" s="32">
        <f t="shared" si="113"/>
        <v>4515281.9825338451</v>
      </c>
      <c r="S116" s="39">
        <f>SUM(G116:R116)</f>
        <v>71560977.983240381</v>
      </c>
      <c r="W116" s="10" t="s">
        <v>105</v>
      </c>
      <c r="X116" s="32">
        <f t="shared" ref="X116:AI116" si="114">SUM(X45,X105,X115)</f>
        <v>4443056.226808643</v>
      </c>
      <c r="Y116" s="32">
        <f t="shared" si="114"/>
        <v>4526076.9827847518</v>
      </c>
      <c r="Z116" s="32">
        <f t="shared" si="114"/>
        <v>3754206.6068634959</v>
      </c>
      <c r="AA116" s="32">
        <f t="shared" si="114"/>
        <v>5820361.5506671667</v>
      </c>
      <c r="AB116" s="32">
        <f t="shared" si="114"/>
        <v>7264609.5795962289</v>
      </c>
      <c r="AC116" s="32">
        <f t="shared" si="114"/>
        <v>6889233.7104149386</v>
      </c>
      <c r="AD116" s="32">
        <f t="shared" si="114"/>
        <v>7818102.2649510801</v>
      </c>
      <c r="AE116" s="32">
        <f t="shared" si="114"/>
        <v>6543633.3690775624</v>
      </c>
      <c r="AF116" s="32">
        <f t="shared" si="114"/>
        <v>6842756.2086876016</v>
      </c>
      <c r="AG116" s="32">
        <f t="shared" si="114"/>
        <v>7140717.7873858539</v>
      </c>
      <c r="AH116" s="32">
        <f t="shared" si="114"/>
        <v>5599747.6939630657</v>
      </c>
      <c r="AI116" s="32">
        <f t="shared" si="114"/>
        <v>4571391.8702942515</v>
      </c>
      <c r="AJ116" s="32">
        <f>SUM(X116:AI116)</f>
        <v>71213893.85149464</v>
      </c>
      <c r="AN116" s="10" t="s">
        <v>105</v>
      </c>
      <c r="AO116" s="32">
        <f>SUM(AO105,AO115)</f>
        <v>4759580.6332141962</v>
      </c>
      <c r="AP116" s="32">
        <f t="shared" ref="AP116:AZ116" si="115">SUM(AP105,AP115)</f>
        <v>4858042.3273517778</v>
      </c>
      <c r="AQ116" s="32">
        <f t="shared" si="115"/>
        <v>4358763.4829145465</v>
      </c>
      <c r="AR116" s="32">
        <f t="shared" si="115"/>
        <v>6700259.4105677549</v>
      </c>
      <c r="AS116" s="32">
        <f t="shared" si="115"/>
        <v>8415223.3399703689</v>
      </c>
      <c r="AT116" s="32">
        <f t="shared" si="115"/>
        <v>8068149.8676687935</v>
      </c>
      <c r="AU116" s="32">
        <f t="shared" si="115"/>
        <v>9176757.9296775814</v>
      </c>
      <c r="AV116" s="32">
        <f t="shared" si="115"/>
        <v>7637404.3477798812</v>
      </c>
      <c r="AW116" s="32">
        <f t="shared" si="115"/>
        <v>7860089.7027747463</v>
      </c>
      <c r="AX116" s="32">
        <f t="shared" si="115"/>
        <v>7956141.7871119035</v>
      </c>
      <c r="AY116" s="32">
        <f t="shared" si="115"/>
        <v>6279574.2737360187</v>
      </c>
      <c r="AZ116" s="32">
        <f t="shared" si="115"/>
        <v>5152167.6081693582</v>
      </c>
      <c r="BA116" s="32">
        <f>SUM(AO116:AZ116)</f>
        <v>81222154.710936934</v>
      </c>
    </row>
    <row r="117" spans="3:53" s="10" customFormat="1">
      <c r="E117" s="370"/>
      <c r="F117" s="10" t="s">
        <v>779</v>
      </c>
      <c r="G117" s="16">
        <f t="shared" ref="G117:S117" si="116">G116/G39</f>
        <v>4.6736548907308428</v>
      </c>
      <c r="H117" s="16">
        <f t="shared" si="116"/>
        <v>4.7302963591853873</v>
      </c>
      <c r="I117" s="16">
        <f t="shared" si="116"/>
        <v>3.6532143276168236</v>
      </c>
      <c r="J117" s="16">
        <f t="shared" si="116"/>
        <v>3.8595467628662323</v>
      </c>
      <c r="K117" s="17">
        <f t="shared" si="116"/>
        <v>3.5498936109692334</v>
      </c>
      <c r="L117" s="17">
        <f t="shared" si="116"/>
        <v>4.185144661062675</v>
      </c>
      <c r="M117" s="17">
        <f t="shared" si="116"/>
        <v>4.175510554126534</v>
      </c>
      <c r="N117" s="17">
        <f t="shared" si="116"/>
        <v>4.2351404963741812</v>
      </c>
      <c r="O117" s="17">
        <f t="shared" si="116"/>
        <v>3.9401376192156099</v>
      </c>
      <c r="P117" s="16">
        <f t="shared" si="116"/>
        <v>4.2025470044563784</v>
      </c>
      <c r="Q117" s="16">
        <f t="shared" si="116"/>
        <v>4.3269657200438472</v>
      </c>
      <c r="R117" s="16">
        <f t="shared" si="116"/>
        <v>4.2587972635590958</v>
      </c>
      <c r="S117" s="197">
        <f t="shared" si="116"/>
        <v>4.1635391552612973</v>
      </c>
      <c r="W117" s="10" t="s">
        <v>779</v>
      </c>
      <c r="X117" s="17">
        <f t="shared" ref="X117:AJ117" si="117">X116/X39</f>
        <v>4.2658489953046068</v>
      </c>
      <c r="Y117" s="17">
        <f t="shared" si="117"/>
        <v>4.279286530535412</v>
      </c>
      <c r="Z117" s="17">
        <f t="shared" si="117"/>
        <v>3.9667394127267137</v>
      </c>
      <c r="AA117" s="17">
        <f t="shared" si="117"/>
        <v>4.0224448617833009</v>
      </c>
      <c r="AB117" s="17">
        <f t="shared" si="117"/>
        <v>4.1345422414041986</v>
      </c>
      <c r="AC117" s="17">
        <f t="shared" si="117"/>
        <v>4.3074081206597139</v>
      </c>
      <c r="AD117" s="17">
        <f t="shared" si="117"/>
        <v>4.4064190428593859</v>
      </c>
      <c r="AE117" s="17">
        <f t="shared" si="117"/>
        <v>4.3982656804525826</v>
      </c>
      <c r="AF117" s="17">
        <f t="shared" si="117"/>
        <v>4.4033604770730967</v>
      </c>
      <c r="AG117" s="17">
        <f t="shared" si="117"/>
        <v>4.3702656686069385</v>
      </c>
      <c r="AH117" s="17">
        <f t="shared" si="117"/>
        <v>4.3447154272698709</v>
      </c>
      <c r="AI117" s="17">
        <f t="shared" si="117"/>
        <v>4.3549664315778642</v>
      </c>
      <c r="AJ117" s="34">
        <f t="shared" si="117"/>
        <v>4.2803099265247688</v>
      </c>
      <c r="AN117" s="10" t="s">
        <v>113</v>
      </c>
      <c r="AO117" s="16">
        <f t="shared" ref="AO117:BA117" si="118">AO116/AO39</f>
        <v>4.51</v>
      </c>
      <c r="AP117" s="16">
        <f t="shared" si="118"/>
        <v>4.5339999999999998</v>
      </c>
      <c r="AQ117" s="16">
        <f t="shared" si="118"/>
        <v>4.5380000000000003</v>
      </c>
      <c r="AR117" s="16">
        <f t="shared" si="118"/>
        <v>4.57</v>
      </c>
      <c r="AS117" s="16">
        <f t="shared" si="118"/>
        <v>4.7300000000000004</v>
      </c>
      <c r="AT117" s="16">
        <f t="shared" si="118"/>
        <v>4.9630000000000001</v>
      </c>
      <c r="AU117" s="16">
        <f t="shared" si="118"/>
        <v>5.09</v>
      </c>
      <c r="AV117" s="16">
        <f t="shared" si="118"/>
        <v>5.0629999999999997</v>
      </c>
      <c r="AW117" s="16">
        <f t="shared" si="118"/>
        <v>4.9939999999999998</v>
      </c>
      <c r="AX117" s="16">
        <f t="shared" si="118"/>
        <v>4.8259999999999996</v>
      </c>
      <c r="AY117" s="16">
        <f t="shared" si="118"/>
        <v>4.8380000000000001</v>
      </c>
      <c r="AZ117" s="16">
        <f t="shared" si="118"/>
        <v>4.8730000000000002</v>
      </c>
      <c r="BA117" s="34">
        <f t="shared" si="118"/>
        <v>4.8210594905181132</v>
      </c>
    </row>
    <row r="118" spans="3:53" s="11" customFormat="1">
      <c r="E118" s="371"/>
      <c r="F118" s="11" t="s">
        <v>467</v>
      </c>
      <c r="G118" s="186">
        <f>G109-G106</f>
        <v>-0.32371428571428584</v>
      </c>
      <c r="H118" s="186">
        <f>H109-H106</f>
        <v>-0.30742857142857183</v>
      </c>
      <c r="I118" s="186">
        <f t="shared" ref="I118:O118" si="119">I109-I106</f>
        <v>-0.69899999999999984</v>
      </c>
      <c r="J118" s="186">
        <f t="shared" si="119"/>
        <v>-0.57514285714285718</v>
      </c>
      <c r="K118" s="186">
        <f t="shared" si="119"/>
        <v>-1.1135172413793102</v>
      </c>
      <c r="L118" s="186">
        <f t="shared" si="119"/>
        <v>-2.1666666666666501E-3</v>
      </c>
      <c r="M118" s="186">
        <f t="shared" si="119"/>
        <v>-5.3166666666666806E-2</v>
      </c>
      <c r="N118" s="186">
        <f t="shared" si="119"/>
        <v>4.6833333333332838E-2</v>
      </c>
      <c r="O118" s="186">
        <f t="shared" si="119"/>
        <v>-0.48082352941176421</v>
      </c>
      <c r="P118" s="186"/>
      <c r="Q118" s="34"/>
      <c r="R118" s="34"/>
      <c r="S118" s="207">
        <f>S119/S85</f>
        <v>-0.23742207829801809</v>
      </c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</row>
    <row r="119" spans="3:53" s="11" customFormat="1">
      <c r="E119" s="371"/>
      <c r="F119" s="11" t="s">
        <v>468</v>
      </c>
      <c r="G119" s="169">
        <f t="shared" ref="G119:O119" si="120">G118*G85</f>
        <v>-35123.000000000015</v>
      </c>
      <c r="H119" s="169">
        <f t="shared" si="120"/>
        <v>-33356.000000000044</v>
      </c>
      <c r="I119" s="169">
        <f t="shared" si="120"/>
        <v>-73394.999999999985</v>
      </c>
      <c r="J119" s="169">
        <f t="shared" si="120"/>
        <v>-62403.000000000007</v>
      </c>
      <c r="K119" s="169">
        <f t="shared" si="120"/>
        <v>-334055.17241379304</v>
      </c>
      <c r="L119" s="169">
        <f t="shared" si="120"/>
        <v>-839.58333333332689</v>
      </c>
      <c r="M119" s="169">
        <f t="shared" si="120"/>
        <v>-20602.083333333387</v>
      </c>
      <c r="N119" s="169">
        <f t="shared" si="120"/>
        <v>16391.666666666493</v>
      </c>
      <c r="O119" s="169">
        <f t="shared" si="120"/>
        <v>-186319.11764705862</v>
      </c>
      <c r="P119" s="169"/>
      <c r="Q119" s="34"/>
      <c r="R119" s="34"/>
      <c r="S119" s="192">
        <f>SUM(H119:P119)</f>
        <v>-694578.29006085196</v>
      </c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</row>
    <row r="120" spans="3:53" s="10" customFormat="1">
      <c r="E120" s="370"/>
      <c r="G120" s="32"/>
      <c r="H120" s="32"/>
      <c r="I120" s="32"/>
      <c r="J120" s="32"/>
      <c r="K120" s="32"/>
      <c r="L120" s="32"/>
      <c r="M120" s="32"/>
      <c r="N120" s="16"/>
      <c r="O120" s="16"/>
      <c r="P120" s="16"/>
      <c r="Q120" s="16"/>
      <c r="R120" s="16"/>
      <c r="S120" s="17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</row>
    <row r="121" spans="3:53">
      <c r="C121" s="10" t="s">
        <v>84</v>
      </c>
      <c r="D121" s="10" t="s">
        <v>100</v>
      </c>
      <c r="E121" s="370" t="s">
        <v>81</v>
      </c>
      <c r="F121" s="11" t="s">
        <v>106</v>
      </c>
      <c r="S121" s="24"/>
      <c r="T121" s="10" t="s">
        <v>84</v>
      </c>
      <c r="U121" s="10" t="s">
        <v>100</v>
      </c>
      <c r="V121" s="10" t="s">
        <v>81</v>
      </c>
      <c r="W121" s="11" t="s">
        <v>106</v>
      </c>
      <c r="AJ121" s="10"/>
      <c r="AK121" s="10" t="s">
        <v>84</v>
      </c>
      <c r="AL121" s="10" t="s">
        <v>100</v>
      </c>
      <c r="AM121" s="10" t="s">
        <v>81</v>
      </c>
      <c r="AN121" s="11" t="s">
        <v>106</v>
      </c>
      <c r="BA121" s="10"/>
    </row>
    <row r="122" spans="3:53">
      <c r="C122" s="175">
        <v>4.4999999999999998E-2</v>
      </c>
      <c r="D122" s="16">
        <v>0.05</v>
      </c>
      <c r="F122" s="10" t="s">
        <v>101</v>
      </c>
      <c r="G122" s="16">
        <f>(G109/(1-$C$122))+$D$122</f>
        <v>4.9892670157068055</v>
      </c>
      <c r="H122" s="16">
        <f t="shared" ref="H122:S122" si="121">(H109/(1-$C$122))+$D$122</f>
        <v>5.0489528795811518</v>
      </c>
      <c r="I122" s="16">
        <f t="shared" si="121"/>
        <v>3.8730366492146593</v>
      </c>
      <c r="J122" s="16">
        <f t="shared" si="121"/>
        <v>4.0678010471204189</v>
      </c>
      <c r="K122" s="16">
        <f t="shared" si="121"/>
        <v>3.4971204188481675</v>
      </c>
      <c r="L122" s="16">
        <f t="shared" si="121"/>
        <v>4.5180628272251315</v>
      </c>
      <c r="M122" s="16">
        <f t="shared" si="121"/>
        <v>4.4646596858638743</v>
      </c>
      <c r="N122" s="16">
        <f t="shared" si="121"/>
        <v>4.5693717277486909</v>
      </c>
      <c r="O122" s="16">
        <f t="shared" si="121"/>
        <v>4.0217277486910996</v>
      </c>
      <c r="P122" s="16">
        <f t="shared" si="121"/>
        <v>4.4897905759162304</v>
      </c>
      <c r="Q122" s="16">
        <f t="shared" si="121"/>
        <v>4.6332460732984293</v>
      </c>
      <c r="R122" s="16">
        <f t="shared" si="121"/>
        <v>4.5798429319371721</v>
      </c>
      <c r="S122" s="17">
        <f t="shared" si="121"/>
        <v>4.4269979711820193</v>
      </c>
      <c r="T122" s="144">
        <v>4.4999999999999998E-2</v>
      </c>
      <c r="U122" s="99">
        <v>0.05</v>
      </c>
      <c r="V122" s="99"/>
      <c r="W122" s="10" t="s">
        <v>101</v>
      </c>
      <c r="X122" s="16">
        <f>(X109/(1-$T$122))+$U$122</f>
        <v>4.6123036649214662</v>
      </c>
      <c r="Y122" s="16">
        <f t="shared" ref="Y122:AJ122" si="122">(Y109/(1-$T$122))+$U$122</f>
        <v>4.6259162303664922</v>
      </c>
      <c r="Z122" s="16">
        <f t="shared" si="122"/>
        <v>4.2321989528795818</v>
      </c>
      <c r="AA122" s="16">
        <f t="shared" si="122"/>
        <v>4.2541884816753921</v>
      </c>
      <c r="AB122" s="16">
        <f t="shared" si="122"/>
        <v>4.413350785340314</v>
      </c>
      <c r="AC122" s="16">
        <f t="shared" si="122"/>
        <v>4.6447643979057593</v>
      </c>
      <c r="AD122" s="16">
        <f t="shared" si="122"/>
        <v>4.7463350785340319</v>
      </c>
      <c r="AE122" s="16">
        <f t="shared" si="122"/>
        <v>4.7473821989528791</v>
      </c>
      <c r="AF122" s="16">
        <f t="shared" si="122"/>
        <v>4.7180628272251308</v>
      </c>
      <c r="AG122" s="16">
        <f t="shared" si="122"/>
        <v>4.6709424083769635</v>
      </c>
      <c r="AH122" s="16">
        <f t="shared" si="122"/>
        <v>4.6981675392670157</v>
      </c>
      <c r="AI122" s="16">
        <f t="shared" si="122"/>
        <v>4.7316753926701569</v>
      </c>
      <c r="AJ122" s="16">
        <f t="shared" si="122"/>
        <v>4.598742256973031</v>
      </c>
      <c r="AK122" s="144">
        <v>4.4999999999999998E-2</v>
      </c>
      <c r="AL122" s="99">
        <v>0.05</v>
      </c>
      <c r="AM122" s="99"/>
      <c r="AN122" s="10" t="s">
        <v>101</v>
      </c>
      <c r="AO122" s="16">
        <f>(AO109/(1-$T$122))+$U$122</f>
        <v>4.7725130890052352</v>
      </c>
      <c r="AP122" s="16">
        <f t="shared" ref="AP122:BA122" si="123">(AP109/(1-$T$122))+$U$122</f>
        <v>4.7976439790575913</v>
      </c>
      <c r="AQ122" s="16">
        <f t="shared" si="123"/>
        <v>4.8018324607329843</v>
      </c>
      <c r="AR122" s="16">
        <f t="shared" si="123"/>
        <v>4.8353403141361264</v>
      </c>
      <c r="AS122" s="16">
        <f t="shared" si="123"/>
        <v>5.0028795811518325</v>
      </c>
      <c r="AT122" s="16">
        <f t="shared" si="123"/>
        <v>5.2468586387434559</v>
      </c>
      <c r="AU122" s="16">
        <f t="shared" si="123"/>
        <v>5.3798429319371728</v>
      </c>
      <c r="AV122" s="16">
        <f t="shared" si="123"/>
        <v>5.3515706806282717</v>
      </c>
      <c r="AW122" s="16">
        <f t="shared" si="123"/>
        <v>5.2793193717277482</v>
      </c>
      <c r="AX122" s="16">
        <f t="shared" si="123"/>
        <v>5.1034031413612562</v>
      </c>
      <c r="AY122" s="16">
        <f t="shared" si="123"/>
        <v>5.1159685863874342</v>
      </c>
      <c r="AZ122" s="16">
        <f t="shared" si="123"/>
        <v>5.1526178010471204</v>
      </c>
      <c r="BA122" s="16">
        <f t="shared" si="123"/>
        <v>5.09822983300326</v>
      </c>
    </row>
    <row r="123" spans="3:53">
      <c r="C123" s="175">
        <v>2.5000000000000001E-2</v>
      </c>
      <c r="E123" s="370">
        <v>1.04</v>
      </c>
      <c r="F123" s="10" t="s">
        <v>102</v>
      </c>
      <c r="G123" s="16">
        <f>G122*$E$123/(1-$C$123)</f>
        <v>5.3218848167539266</v>
      </c>
      <c r="H123" s="16">
        <f t="shared" ref="H123:S123" si="124">H122*$E$123/(1-$C$123)</f>
        <v>5.385549738219896</v>
      </c>
      <c r="I123" s="16">
        <f t="shared" si="124"/>
        <v>4.1312390924956368</v>
      </c>
      <c r="J123" s="16">
        <f t="shared" si="124"/>
        <v>4.3389877835951136</v>
      </c>
      <c r="K123" s="16">
        <f t="shared" si="124"/>
        <v>3.730261780104712</v>
      </c>
      <c r="L123" s="16">
        <f t="shared" si="124"/>
        <v>4.8192670157068074</v>
      </c>
      <c r="M123" s="16">
        <f t="shared" si="124"/>
        <v>4.7623036649214656</v>
      </c>
      <c r="N123" s="16">
        <f t="shared" si="124"/>
        <v>4.8739965095986042</v>
      </c>
      <c r="O123" s="16">
        <f t="shared" si="124"/>
        <v>4.2898429319371729</v>
      </c>
      <c r="P123" s="16">
        <f t="shared" si="124"/>
        <v>4.7891099476439791</v>
      </c>
      <c r="Q123" s="16">
        <f t="shared" si="124"/>
        <v>4.9421291448516582</v>
      </c>
      <c r="R123" s="16">
        <f t="shared" si="124"/>
        <v>4.8851657940663173</v>
      </c>
      <c r="S123" s="17">
        <f t="shared" si="124"/>
        <v>4.7221311692608205</v>
      </c>
      <c r="T123" s="144">
        <v>2.5000000000000001E-2</v>
      </c>
      <c r="V123" s="147">
        <v>1.04</v>
      </c>
      <c r="W123" s="10" t="s">
        <v>102</v>
      </c>
      <c r="X123" s="16">
        <f>X122*$V$123/(1-$T$123)</f>
        <v>4.919790575916231</v>
      </c>
      <c r="Y123" s="16">
        <f t="shared" ref="Y123:AJ123" si="125">Y122*$V$123/(1-$T$123)</f>
        <v>4.9343106457242589</v>
      </c>
      <c r="Z123" s="16">
        <f t="shared" si="125"/>
        <v>4.5143455497382208</v>
      </c>
      <c r="AA123" s="16">
        <f t="shared" si="125"/>
        <v>4.5378010471204187</v>
      </c>
      <c r="AB123" s="16">
        <f t="shared" si="125"/>
        <v>4.7075741710296679</v>
      </c>
      <c r="AC123" s="16">
        <f t="shared" si="125"/>
        <v>4.9544153577661429</v>
      </c>
      <c r="AD123" s="16">
        <f t="shared" si="125"/>
        <v>5.0627574171029677</v>
      </c>
      <c r="AE123" s="16">
        <f t="shared" si="125"/>
        <v>5.0638743455497375</v>
      </c>
      <c r="AF123" s="16">
        <f t="shared" si="125"/>
        <v>5.0326003490401394</v>
      </c>
      <c r="AG123" s="16">
        <f t="shared" si="125"/>
        <v>4.982338568935428</v>
      </c>
      <c r="AH123" s="16">
        <f t="shared" si="125"/>
        <v>5.0113787085514838</v>
      </c>
      <c r="AI123" s="16">
        <f t="shared" si="125"/>
        <v>5.0471204188481682</v>
      </c>
      <c r="AJ123" s="16">
        <f t="shared" si="125"/>
        <v>4.9053250741045664</v>
      </c>
      <c r="AK123" s="144">
        <v>2.5000000000000001E-2</v>
      </c>
      <c r="AM123" s="147">
        <v>1.04</v>
      </c>
      <c r="AN123" s="10" t="s">
        <v>102</v>
      </c>
      <c r="AO123" s="16">
        <f t="shared" ref="AO123:BA123" si="126">AO122*$V$123/(1-$T$123)</f>
        <v>5.090680628272251</v>
      </c>
      <c r="AP123" s="16">
        <f t="shared" si="126"/>
        <v>5.1174869109947645</v>
      </c>
      <c r="AQ123" s="16">
        <f t="shared" si="126"/>
        <v>5.1219546247818499</v>
      </c>
      <c r="AR123" s="16">
        <f t="shared" si="126"/>
        <v>5.1576963350785352</v>
      </c>
      <c r="AS123" s="16">
        <f t="shared" si="126"/>
        <v>5.3364048865619553</v>
      </c>
      <c r="AT123" s="16">
        <f t="shared" si="126"/>
        <v>5.5966492146596867</v>
      </c>
      <c r="AU123" s="16">
        <f t="shared" si="126"/>
        <v>5.7384991273996517</v>
      </c>
      <c r="AV123" s="16">
        <f t="shared" si="126"/>
        <v>5.7083420593368235</v>
      </c>
      <c r="AW123" s="16">
        <f t="shared" si="126"/>
        <v>5.6312739965095977</v>
      </c>
      <c r="AX123" s="16">
        <f t="shared" si="126"/>
        <v>5.4436300174520067</v>
      </c>
      <c r="AY123" s="16">
        <f t="shared" si="126"/>
        <v>5.457033158813263</v>
      </c>
      <c r="AZ123" s="16">
        <f t="shared" si="126"/>
        <v>5.4961256544502621</v>
      </c>
      <c r="BA123" s="16">
        <f t="shared" si="126"/>
        <v>5.4381118218701436</v>
      </c>
    </row>
    <row r="126" spans="3:53">
      <c r="F126" s="10" t="s">
        <v>340</v>
      </c>
      <c r="G126" s="22">
        <f>MCFS!D28-MCFS!D26</f>
        <v>-36605.098024516366</v>
      </c>
      <c r="H126" s="22"/>
      <c r="I126" s="22"/>
      <c r="J126" s="22"/>
      <c r="K126" s="22"/>
      <c r="L126" s="22"/>
      <c r="M126" s="22"/>
      <c r="N126" s="22"/>
      <c r="W126" s="10" t="s">
        <v>340</v>
      </c>
      <c r="AN126" s="10" t="s">
        <v>340</v>
      </c>
    </row>
    <row r="127" spans="3:53">
      <c r="F127" s="10" t="s">
        <v>341</v>
      </c>
      <c r="G127" s="22">
        <f>G126/(1-0.055)</f>
        <v>-38735.553465096687</v>
      </c>
      <c r="H127" s="22"/>
      <c r="I127" s="22"/>
      <c r="J127" s="22"/>
      <c r="K127" s="22"/>
      <c r="L127" s="22"/>
      <c r="M127" s="22"/>
      <c r="N127" s="22"/>
      <c r="W127" s="10" t="s">
        <v>341</v>
      </c>
      <c r="AN127" s="10" t="s">
        <v>341</v>
      </c>
    </row>
    <row r="128" spans="3:53">
      <c r="F128" s="10" t="s">
        <v>113</v>
      </c>
      <c r="G128" s="16">
        <f>G117</f>
        <v>4.6736548907308428</v>
      </c>
      <c r="H128" s="16"/>
      <c r="I128" s="16"/>
      <c r="J128" s="16"/>
      <c r="K128" s="16"/>
      <c r="L128" s="16"/>
      <c r="M128" s="16"/>
      <c r="N128" s="16"/>
      <c r="W128" s="10" t="s">
        <v>113</v>
      </c>
      <c r="AN128" s="10" t="s">
        <v>113</v>
      </c>
    </row>
    <row r="129" spans="1:53">
      <c r="F129" s="10" t="s">
        <v>342</v>
      </c>
      <c r="G129" s="30">
        <f>G127*G128</f>
        <v>-181036.60889731519</v>
      </c>
      <c r="H129" s="30"/>
      <c r="I129" s="30"/>
      <c r="J129" s="30"/>
      <c r="K129" s="30"/>
      <c r="L129" s="30"/>
      <c r="M129" s="30"/>
      <c r="N129" s="30"/>
      <c r="W129" s="10" t="s">
        <v>342</v>
      </c>
      <c r="AN129" s="10" t="s">
        <v>342</v>
      </c>
    </row>
    <row r="130" spans="1:53">
      <c r="F130" s="10" t="s">
        <v>343</v>
      </c>
      <c r="G130" s="30">
        <f>+'YR REPORTS'!D21</f>
        <v>8473076.8845623098</v>
      </c>
      <c r="H130" s="30"/>
      <c r="I130" s="30"/>
      <c r="J130" s="30"/>
      <c r="K130" s="30"/>
      <c r="L130" s="30"/>
      <c r="M130" s="30"/>
      <c r="N130" s="30"/>
      <c r="W130" s="10" t="s">
        <v>343</v>
      </c>
      <c r="AN130" s="10" t="s">
        <v>343</v>
      </c>
    </row>
    <row r="131" spans="1:53">
      <c r="F131" s="10" t="s">
        <v>344</v>
      </c>
      <c r="G131" s="30">
        <f>SUM(G129:G130)</f>
        <v>8292040.2756649945</v>
      </c>
      <c r="H131" s="30"/>
      <c r="I131" s="30"/>
      <c r="J131" s="30"/>
      <c r="K131" s="30"/>
      <c r="L131" s="30"/>
      <c r="M131" s="30"/>
      <c r="N131" s="30"/>
      <c r="W131" s="10" t="s">
        <v>344</v>
      </c>
      <c r="AN131" s="10" t="s">
        <v>344</v>
      </c>
    </row>
    <row r="133" spans="1:53">
      <c r="F133" s="10" t="s">
        <v>439</v>
      </c>
      <c r="G133" s="22">
        <f>(13502+9932)*G1/0.95</f>
        <v>764688.42105263157</v>
      </c>
      <c r="H133" s="22">
        <f t="shared" ref="H133:R133" si="127">(13502+9932)*H1/0.95</f>
        <v>764688.42105263157</v>
      </c>
      <c r="I133" s="22">
        <f t="shared" si="127"/>
        <v>740021.05263157899</v>
      </c>
      <c r="J133" s="22">
        <f t="shared" si="127"/>
        <v>764688.42105263157</v>
      </c>
      <c r="K133" s="22">
        <f t="shared" si="127"/>
        <v>740021.05263157899</v>
      </c>
      <c r="L133" s="22">
        <f t="shared" si="127"/>
        <v>764688.42105263157</v>
      </c>
      <c r="M133" s="22">
        <f t="shared" si="127"/>
        <v>764688.42105263157</v>
      </c>
      <c r="N133" s="22">
        <f t="shared" si="127"/>
        <v>690686.31578947371</v>
      </c>
      <c r="O133" s="22">
        <f t="shared" si="127"/>
        <v>764688.42105263157</v>
      </c>
      <c r="P133" s="22">
        <f t="shared" si="127"/>
        <v>740021.05263157899</v>
      </c>
      <c r="Q133" s="22">
        <f t="shared" si="127"/>
        <v>764688.42105263157</v>
      </c>
      <c r="R133" s="22">
        <f t="shared" si="127"/>
        <v>740021.05263157899</v>
      </c>
      <c r="S133" s="28">
        <f>SUM(G133:R133)</f>
        <v>9003589.4736842122</v>
      </c>
      <c r="T133" s="103">
        <f>S133/S7</f>
        <v>0.5455251041098903</v>
      </c>
      <c r="W133" s="10" t="s">
        <v>439</v>
      </c>
      <c r="X133" s="22">
        <f>(13502+9932)*X1/0.95</f>
        <v>764688.42105263157</v>
      </c>
      <c r="Y133" s="22">
        <f t="shared" ref="Y133:AI133" si="128">(13502+9932)*Y1/0.95</f>
        <v>764688.42105263157</v>
      </c>
      <c r="Z133" s="22">
        <f t="shared" si="128"/>
        <v>740021.05263157899</v>
      </c>
      <c r="AA133" s="22">
        <f t="shared" si="128"/>
        <v>764688.42105263157</v>
      </c>
      <c r="AB133" s="22">
        <f t="shared" si="128"/>
        <v>740021.05263157899</v>
      </c>
      <c r="AC133" s="22">
        <f t="shared" si="128"/>
        <v>764688.42105263157</v>
      </c>
      <c r="AD133" s="22">
        <f t="shared" si="128"/>
        <v>764688.42105263157</v>
      </c>
      <c r="AE133" s="22">
        <f t="shared" si="128"/>
        <v>715353.68421052629</v>
      </c>
      <c r="AF133" s="22">
        <f t="shared" si="128"/>
        <v>764688.42105263157</v>
      </c>
      <c r="AG133" s="22">
        <f t="shared" si="128"/>
        <v>740021.05263157899</v>
      </c>
      <c r="AH133" s="22">
        <f t="shared" si="128"/>
        <v>764688.42105263157</v>
      </c>
      <c r="AI133" s="22">
        <f t="shared" si="128"/>
        <v>740021.05263157899</v>
      </c>
      <c r="AJ133" s="22">
        <f>SUM(X133:AI133)</f>
        <v>9028256.8421052657</v>
      </c>
      <c r="AN133" s="10" t="s">
        <v>439</v>
      </c>
      <c r="AO133" s="22">
        <f>(13502+9932)*AO1/0.95</f>
        <v>764688.42105263157</v>
      </c>
      <c r="AP133" s="22">
        <f t="shared" ref="AP133:AZ133" si="129">(13502+9932)*AP1/0.95</f>
        <v>764688.42105263157</v>
      </c>
      <c r="AQ133" s="22">
        <f t="shared" si="129"/>
        <v>740021.05263157899</v>
      </c>
      <c r="AR133" s="22">
        <f t="shared" si="129"/>
        <v>764688.42105263157</v>
      </c>
      <c r="AS133" s="22">
        <f t="shared" si="129"/>
        <v>740021.05263157899</v>
      </c>
      <c r="AT133" s="22">
        <f t="shared" si="129"/>
        <v>764688.42105263157</v>
      </c>
      <c r="AU133" s="22">
        <f t="shared" si="129"/>
        <v>764688.42105263157</v>
      </c>
      <c r="AV133" s="22">
        <f t="shared" si="129"/>
        <v>690686.31578947371</v>
      </c>
      <c r="AW133" s="22">
        <f t="shared" si="129"/>
        <v>764688.42105263157</v>
      </c>
      <c r="AX133" s="22">
        <f t="shared" si="129"/>
        <v>740021.05263157899</v>
      </c>
      <c r="AY133" s="22">
        <f t="shared" si="129"/>
        <v>764688.42105263157</v>
      </c>
      <c r="AZ133" s="22">
        <f t="shared" si="129"/>
        <v>740021.05263157899</v>
      </c>
      <c r="BA133" s="22">
        <f>SUM(AO133:AZ133)</f>
        <v>9003589.4736842122</v>
      </c>
    </row>
    <row r="134" spans="1:53">
      <c r="F134" s="10" t="s">
        <v>438</v>
      </c>
      <c r="G134" s="32">
        <f t="shared" ref="G134:R134" si="130">G133*G109</f>
        <v>3607035.2821052629</v>
      </c>
      <c r="H134" s="32">
        <f t="shared" si="130"/>
        <v>3650622.5221052631</v>
      </c>
      <c r="I134" s="32">
        <f t="shared" si="130"/>
        <v>2701816.8631578949</v>
      </c>
      <c r="J134" s="32">
        <f t="shared" si="130"/>
        <v>2934109.4715789473</v>
      </c>
      <c r="K134" s="32">
        <f t="shared" si="130"/>
        <v>2436149.3052631579</v>
      </c>
      <c r="L134" s="32">
        <f t="shared" si="130"/>
        <v>3262925.4926315793</v>
      </c>
      <c r="M134" s="32">
        <f t="shared" si="130"/>
        <v>3223926.3831578949</v>
      </c>
      <c r="N134" s="32">
        <f t="shared" si="130"/>
        <v>2981002.1389473686</v>
      </c>
      <c r="O134" s="32">
        <f t="shared" si="130"/>
        <v>2900463.1810526317</v>
      </c>
      <c r="P134" s="32">
        <f t="shared" si="130"/>
        <v>3137689.2631578953</v>
      </c>
      <c r="Q134" s="32">
        <f t="shared" si="130"/>
        <v>3347041.2189473682</v>
      </c>
      <c r="R134" s="32">
        <f t="shared" si="130"/>
        <v>3201331.0736842104</v>
      </c>
      <c r="S134" s="39">
        <f>SUM(G134:R134)</f>
        <v>37384112.195789471</v>
      </c>
      <c r="W134" s="10" t="s">
        <v>438</v>
      </c>
      <c r="X134" s="32">
        <f t="shared" ref="X134:AI134" si="131">X133*X109</f>
        <v>3331747.4505263157</v>
      </c>
      <c r="Y134" s="32">
        <f t="shared" si="131"/>
        <v>3341688.4</v>
      </c>
      <c r="Z134" s="32">
        <f t="shared" si="131"/>
        <v>2955644.0842105267</v>
      </c>
      <c r="AA134" s="32">
        <f t="shared" si="131"/>
        <v>3070224.0105263153</v>
      </c>
      <c r="AB134" s="32">
        <f t="shared" si="131"/>
        <v>3083667.7263157894</v>
      </c>
      <c r="AC134" s="32">
        <f t="shared" si="131"/>
        <v>3355452.7915789471</v>
      </c>
      <c r="AD134" s="32">
        <f t="shared" si="131"/>
        <v>3429627.5684210528</v>
      </c>
      <c r="AE134" s="32">
        <f t="shared" si="131"/>
        <v>3209076.6273684208</v>
      </c>
      <c r="AF134" s="32">
        <f t="shared" si="131"/>
        <v>3408980.9810526315</v>
      </c>
      <c r="AG134" s="32">
        <f t="shared" si="131"/>
        <v>3265712.9052631585</v>
      </c>
      <c r="AH134" s="32">
        <f t="shared" si="131"/>
        <v>3394451.9010526314</v>
      </c>
      <c r="AI134" s="32">
        <f t="shared" si="131"/>
        <v>3308634.1263157898</v>
      </c>
      <c r="AJ134" s="32">
        <f>SUM(X134:AI134)</f>
        <v>39154908.572631583</v>
      </c>
      <c r="AN134" s="10" t="s">
        <v>438</v>
      </c>
      <c r="AO134" s="32">
        <f t="shared" ref="AO134:AZ134" si="132">AO133*AO109</f>
        <v>3448744.7789473683</v>
      </c>
      <c r="AP134" s="32">
        <f t="shared" si="132"/>
        <v>3467097.3010526313</v>
      </c>
      <c r="AQ134" s="32">
        <f t="shared" si="132"/>
        <v>3358215.5368421054</v>
      </c>
      <c r="AR134" s="32">
        <f t="shared" si="132"/>
        <v>3494626.0842105267</v>
      </c>
      <c r="AS134" s="32">
        <f t="shared" si="132"/>
        <v>3500299.578947369</v>
      </c>
      <c r="AT134" s="32">
        <f t="shared" si="132"/>
        <v>3795148.6336842105</v>
      </c>
      <c r="AU134" s="32">
        <f t="shared" si="132"/>
        <v>3892264.0631578946</v>
      </c>
      <c r="AV134" s="32">
        <f t="shared" si="132"/>
        <v>3496944.8168421052</v>
      </c>
      <c r="AW134" s="32">
        <f t="shared" si="132"/>
        <v>3818853.9747368419</v>
      </c>
      <c r="AX134" s="32">
        <f t="shared" si="132"/>
        <v>3571341.6</v>
      </c>
      <c r="AY134" s="32">
        <f t="shared" si="132"/>
        <v>3699562.5810526316</v>
      </c>
      <c r="AZ134" s="32">
        <f t="shared" si="132"/>
        <v>3606122.5894736848</v>
      </c>
      <c r="BA134" s="32">
        <f>SUM(AO134:AZ134)</f>
        <v>43149221.538947374</v>
      </c>
    </row>
    <row r="135" spans="1:53">
      <c r="AJ135" s="32">
        <f>R134</f>
        <v>3201331.0736842104</v>
      </c>
    </row>
    <row r="136" spans="1:53">
      <c r="N136" s="110"/>
      <c r="R136" s="112"/>
      <c r="AJ136" s="32">
        <f>AJ134+AJ135</f>
        <v>42356239.646315791</v>
      </c>
    </row>
    <row r="138" spans="1:53">
      <c r="B138" s="10" t="s">
        <v>744</v>
      </c>
      <c r="C138" s="10" t="s">
        <v>950</v>
      </c>
      <c r="D138" s="10" t="s">
        <v>950</v>
      </c>
      <c r="K138" s="16"/>
    </row>
    <row r="139" spans="1:53">
      <c r="B139" s="10" t="s">
        <v>881</v>
      </c>
      <c r="C139" s="10" t="s">
        <v>880</v>
      </c>
      <c r="D139" s="10" t="s">
        <v>881</v>
      </c>
      <c r="G139" s="10" t="s">
        <v>466</v>
      </c>
      <c r="H139" s="24" t="s">
        <v>879</v>
      </c>
      <c r="I139" s="1" t="s">
        <v>745</v>
      </c>
      <c r="J139" s="10"/>
      <c r="K139" s="32"/>
    </row>
    <row r="140" spans="1:53">
      <c r="A140" s="10" t="s">
        <v>478</v>
      </c>
      <c r="B140" s="16">
        <f>AVERAGE(D140:D144)</f>
        <v>8.0298219999999993</v>
      </c>
      <c r="C140" s="16">
        <v>7.3154514000000006</v>
      </c>
      <c r="D140" s="16">
        <f>C140/1.03</f>
        <v>7.1023800000000001</v>
      </c>
      <c r="E140" s="370">
        <v>39387</v>
      </c>
      <c r="F140" s="10" t="s">
        <v>738</v>
      </c>
      <c r="G140" s="314">
        <v>7.2690000000000001</v>
      </c>
      <c r="H140" s="16">
        <f>AVERAGE(G140:G144)</f>
        <v>7.7140000000000004</v>
      </c>
      <c r="I140" s="29">
        <f>D140-G140</f>
        <v>-0.16661999999999999</v>
      </c>
      <c r="J140" s="313"/>
      <c r="K140" s="32"/>
    </row>
    <row r="141" spans="1:53">
      <c r="C141" s="16">
        <v>7.3176350000000001</v>
      </c>
      <c r="D141" s="16">
        <f t="shared" ref="D141:D201" si="133">C141/1.03</f>
        <v>7.1044999999999998</v>
      </c>
      <c r="E141" s="370">
        <v>39417</v>
      </c>
      <c r="F141" s="10" t="s">
        <v>739</v>
      </c>
      <c r="G141" s="314">
        <v>7.2030000000000003</v>
      </c>
      <c r="H141" s="10"/>
      <c r="I141" s="29">
        <f t="shared" ref="I141:I201" si="134">D141-G141</f>
        <v>-9.8500000000000476E-2</v>
      </c>
      <c r="J141" s="313"/>
      <c r="K141" s="32"/>
    </row>
    <row r="142" spans="1:53">
      <c r="A142" s="10" t="s">
        <v>887</v>
      </c>
      <c r="B142" s="16">
        <f>AVERAGE(D142:D153)</f>
        <v>8.8610499999999988</v>
      </c>
      <c r="C142" s="16">
        <v>8.2247868999999998</v>
      </c>
      <c r="D142" s="16">
        <f t="shared" si="133"/>
        <v>7.9852299999999996</v>
      </c>
      <c r="E142" s="370">
        <v>39448</v>
      </c>
      <c r="F142" s="10" t="s">
        <v>728</v>
      </c>
      <c r="G142" s="314">
        <v>7.1719999999999997</v>
      </c>
      <c r="H142" s="16">
        <f>AVERAGE(G142:G153)</f>
        <v>9.0347500000000007</v>
      </c>
      <c r="I142" s="29">
        <f t="shared" si="134"/>
        <v>0.8132299999999999</v>
      </c>
      <c r="J142" s="313"/>
    </row>
    <row r="143" spans="1:53">
      <c r="C143" s="16">
        <v>8.800320000000001</v>
      </c>
      <c r="D143" s="16">
        <f t="shared" si="133"/>
        <v>8.5440000000000005</v>
      </c>
      <c r="E143" s="370">
        <v>39479</v>
      </c>
      <c r="F143" s="10" t="s">
        <v>729</v>
      </c>
      <c r="G143" s="314">
        <v>7.9960000000000004</v>
      </c>
      <c r="H143" s="10"/>
      <c r="I143" s="29">
        <f t="shared" si="134"/>
        <v>0.54800000000000004</v>
      </c>
      <c r="J143" s="313"/>
    </row>
    <row r="144" spans="1:53">
      <c r="C144" s="16">
        <v>9.6953899999999997</v>
      </c>
      <c r="D144" s="16">
        <f t="shared" si="133"/>
        <v>9.4130000000000003</v>
      </c>
      <c r="E144" s="370">
        <v>39508</v>
      </c>
      <c r="F144" s="10" t="s">
        <v>730</v>
      </c>
      <c r="G144" s="314">
        <v>8.93</v>
      </c>
      <c r="H144" s="10"/>
      <c r="I144" s="29">
        <f t="shared" si="134"/>
        <v>0.48300000000000054</v>
      </c>
      <c r="J144" s="313"/>
    </row>
    <row r="145" spans="1:10">
      <c r="A145" s="10" t="s">
        <v>477</v>
      </c>
      <c r="B145" s="16">
        <f>AVERAGE(D145:D151)</f>
        <v>9.6987485714285722</v>
      </c>
      <c r="C145" s="16">
        <v>10.486800799999999</v>
      </c>
      <c r="D145" s="16">
        <f t="shared" si="133"/>
        <v>10.18136</v>
      </c>
      <c r="E145" s="370">
        <v>39539</v>
      </c>
      <c r="F145" s="10" t="s">
        <v>731</v>
      </c>
      <c r="G145" s="314">
        <v>9.5779999999999994</v>
      </c>
      <c r="H145" s="16">
        <f>AVERAGE(G145:G151)</f>
        <v>10.137428571428572</v>
      </c>
      <c r="I145" s="29">
        <f t="shared" si="134"/>
        <v>0.60336000000000034</v>
      </c>
      <c r="J145" s="313"/>
    </row>
    <row r="146" spans="1:10">
      <c r="C146" s="16">
        <v>11.6071112</v>
      </c>
      <c r="D146" s="16">
        <f t="shared" si="133"/>
        <v>11.26904</v>
      </c>
      <c r="E146" s="370">
        <v>39569</v>
      </c>
      <c r="F146" s="10" t="s">
        <v>732</v>
      </c>
      <c r="G146" s="314">
        <v>11.28</v>
      </c>
      <c r="H146" s="10"/>
      <c r="I146" s="29">
        <f t="shared" si="134"/>
        <v>-1.0959999999998971E-2</v>
      </c>
      <c r="J146" s="313"/>
    </row>
    <row r="147" spans="1:10">
      <c r="C147" s="16">
        <v>13.065786900000001</v>
      </c>
      <c r="D147" s="16">
        <f t="shared" si="133"/>
        <v>12.685230000000001</v>
      </c>
      <c r="E147" s="370">
        <v>39600</v>
      </c>
      <c r="F147" s="10" t="s">
        <v>733</v>
      </c>
      <c r="G147" s="81">
        <v>11.916</v>
      </c>
      <c r="H147" s="10"/>
      <c r="I147" s="29">
        <f t="shared" si="134"/>
        <v>0.7692300000000003</v>
      </c>
      <c r="J147" s="296"/>
    </row>
    <row r="148" spans="1:10">
      <c r="C148" s="16">
        <v>11.4212889</v>
      </c>
      <c r="D148" s="16">
        <f t="shared" si="133"/>
        <v>11.08863</v>
      </c>
      <c r="E148" s="370">
        <v>39630</v>
      </c>
      <c r="F148" s="11" t="s">
        <v>734</v>
      </c>
      <c r="G148" s="296">
        <v>13.105</v>
      </c>
      <c r="H148" s="10"/>
      <c r="I148" s="29">
        <f t="shared" si="134"/>
        <v>-2.0163700000000002</v>
      </c>
      <c r="J148" s="296"/>
    </row>
    <row r="149" spans="1:10">
      <c r="C149" s="16">
        <v>8.5043597999999996</v>
      </c>
      <c r="D149" s="16">
        <f t="shared" si="133"/>
        <v>8.2566600000000001</v>
      </c>
      <c r="E149" s="370">
        <v>39661</v>
      </c>
      <c r="F149" s="10" t="s">
        <v>735</v>
      </c>
      <c r="G149" s="81">
        <v>9.2170000000000005</v>
      </c>
      <c r="H149" s="10"/>
      <c r="I149" s="29">
        <f t="shared" si="134"/>
        <v>-0.96034000000000042</v>
      </c>
      <c r="J149" s="296"/>
    </row>
    <row r="150" spans="1:10">
      <c r="C150" s="16">
        <v>7.9040140000000001</v>
      </c>
      <c r="D150" s="16">
        <f t="shared" si="133"/>
        <v>7.6738</v>
      </c>
      <c r="E150" s="370">
        <v>39692</v>
      </c>
      <c r="F150" s="10" t="s">
        <v>736</v>
      </c>
      <c r="G150" s="81">
        <v>8.3940000000000001</v>
      </c>
      <c r="H150" s="10"/>
      <c r="I150" s="29">
        <f t="shared" si="134"/>
        <v>-0.72020000000000017</v>
      </c>
      <c r="J150" s="296"/>
    </row>
    <row r="151" spans="1:10">
      <c r="C151" s="16">
        <v>6.9386155999999994</v>
      </c>
      <c r="D151" s="16">
        <f t="shared" si="133"/>
        <v>6.7365199999999996</v>
      </c>
      <c r="E151" s="370">
        <v>39722</v>
      </c>
      <c r="F151" s="10" t="s">
        <v>737</v>
      </c>
      <c r="G151" s="81">
        <v>7.4720000000000004</v>
      </c>
      <c r="H151" s="10"/>
      <c r="I151" s="29">
        <f t="shared" si="134"/>
        <v>-0.7354800000000008</v>
      </c>
      <c r="J151" s="296"/>
    </row>
    <row r="152" spans="1:10">
      <c r="A152" s="10" t="s">
        <v>478</v>
      </c>
      <c r="B152" s="16">
        <f>AVERAGE(D152:D156)</f>
        <v>5.2427800000000007</v>
      </c>
      <c r="C152" s="16">
        <v>6.8841903999999996</v>
      </c>
      <c r="D152" s="16">
        <f t="shared" si="133"/>
        <v>6.6836799999999998</v>
      </c>
      <c r="E152" s="370">
        <v>39753</v>
      </c>
      <c r="F152" s="10" t="s">
        <v>738</v>
      </c>
      <c r="G152" s="81">
        <v>6.4690000000000003</v>
      </c>
      <c r="H152" s="16">
        <f>AVERAGE(G152:G156)</f>
        <v>5.6049999999999995</v>
      </c>
      <c r="I152" s="29">
        <f t="shared" si="134"/>
        <v>0.21467999999999954</v>
      </c>
      <c r="J152" s="296"/>
    </row>
    <row r="153" spans="1:10">
      <c r="C153" s="16">
        <v>5.9899135000000001</v>
      </c>
      <c r="D153" s="16">
        <f t="shared" si="133"/>
        <v>5.8154500000000002</v>
      </c>
      <c r="E153" s="370">
        <v>39783</v>
      </c>
      <c r="F153" s="10" t="s">
        <v>739</v>
      </c>
      <c r="G153" s="81">
        <v>6.8879999999999999</v>
      </c>
      <c r="H153" s="10"/>
      <c r="I153" s="29">
        <f t="shared" si="134"/>
        <v>-1.0725499999999997</v>
      </c>
      <c r="J153" s="296"/>
    </row>
    <row r="154" spans="1:10">
      <c r="A154" s="10" t="s">
        <v>887</v>
      </c>
      <c r="B154" s="16">
        <f>AVERAGE(D154:D165)</f>
        <v>3.9452050000000001</v>
      </c>
      <c r="C154" s="16">
        <v>5.3977149999999998</v>
      </c>
      <c r="D154" s="16">
        <f t="shared" si="133"/>
        <v>5.2404999999999999</v>
      </c>
      <c r="E154" s="370">
        <v>39814</v>
      </c>
      <c r="F154" s="10" t="s">
        <v>728</v>
      </c>
      <c r="G154" s="81">
        <v>6.1360000000000001</v>
      </c>
      <c r="H154" s="16">
        <f>AVERAGE(G154:G165)</f>
        <v>3.9861666666666657</v>
      </c>
      <c r="I154" s="29">
        <f t="shared" si="134"/>
        <v>-0.89550000000000018</v>
      </c>
      <c r="J154" s="296"/>
    </row>
    <row r="155" spans="1:10">
      <c r="C155" s="16">
        <v>4.6501719000000001</v>
      </c>
      <c r="D155" s="16">
        <f t="shared" si="133"/>
        <v>4.5147300000000001</v>
      </c>
      <c r="E155" s="370">
        <v>39845</v>
      </c>
      <c r="F155" s="10" t="s">
        <v>729</v>
      </c>
      <c r="G155" s="81">
        <v>4.476</v>
      </c>
      <c r="H155" s="10"/>
      <c r="I155" s="29">
        <f t="shared" si="134"/>
        <v>3.8730000000000153E-2</v>
      </c>
      <c r="J155" s="296"/>
    </row>
    <row r="156" spans="1:10">
      <c r="C156" s="16">
        <v>4.0783262000000002</v>
      </c>
      <c r="D156" s="16">
        <f t="shared" si="133"/>
        <v>3.9595400000000001</v>
      </c>
      <c r="E156" s="370">
        <v>39873</v>
      </c>
      <c r="F156" s="10" t="s">
        <v>730</v>
      </c>
      <c r="G156" s="81">
        <v>4.056</v>
      </c>
      <c r="H156" s="10"/>
      <c r="I156" s="29">
        <f t="shared" si="134"/>
        <v>-9.645999999999999E-2</v>
      </c>
      <c r="J156" s="296"/>
    </row>
    <row r="157" spans="1:10">
      <c r="A157" s="10" t="s">
        <v>477</v>
      </c>
      <c r="B157" s="16">
        <f>AVERAGE(D157:D163)</f>
        <v>3.5182414285714287</v>
      </c>
      <c r="C157" s="16">
        <v>3.5996028</v>
      </c>
      <c r="D157" s="16">
        <f t="shared" si="133"/>
        <v>3.4947599999999999</v>
      </c>
      <c r="E157" s="370">
        <v>39904</v>
      </c>
      <c r="F157" s="10" t="s">
        <v>731</v>
      </c>
      <c r="G157" s="81">
        <v>3.6309999999999998</v>
      </c>
      <c r="H157" s="16">
        <f>AVERAGE(G157:G163)</f>
        <v>3.4844285714285719</v>
      </c>
      <c r="I157" s="29">
        <f t="shared" si="134"/>
        <v>-0.13623999999999992</v>
      </c>
      <c r="J157" s="296"/>
    </row>
    <row r="158" spans="1:10">
      <c r="C158" s="16">
        <v>3.9474750000000003</v>
      </c>
      <c r="D158" s="16">
        <f t="shared" si="133"/>
        <v>3.8325</v>
      </c>
      <c r="E158" s="370">
        <v>39934</v>
      </c>
      <c r="F158" s="10" t="s">
        <v>732</v>
      </c>
      <c r="G158" s="81">
        <v>3.3210000000000002</v>
      </c>
      <c r="H158" s="10"/>
      <c r="I158" s="29">
        <f t="shared" si="134"/>
        <v>0.51149999999999984</v>
      </c>
      <c r="J158" s="296"/>
    </row>
    <row r="159" spans="1:10">
      <c r="C159" s="16">
        <v>3.9144635000000001</v>
      </c>
      <c r="D159" s="16">
        <f t="shared" si="133"/>
        <v>3.8004500000000001</v>
      </c>
      <c r="E159" s="370">
        <v>39965</v>
      </c>
      <c r="F159" s="10" t="s">
        <v>733</v>
      </c>
      <c r="G159" s="314">
        <v>3.5379999999999998</v>
      </c>
      <c r="H159" s="10"/>
      <c r="I159" s="29">
        <f t="shared" si="134"/>
        <v>0.26245000000000029</v>
      </c>
      <c r="J159" s="296"/>
    </row>
    <row r="160" spans="1:10">
      <c r="C160" s="16">
        <v>3.4851389000000004</v>
      </c>
      <c r="D160" s="16">
        <f t="shared" si="133"/>
        <v>3.3836300000000001</v>
      </c>
      <c r="E160" s="370">
        <v>39995</v>
      </c>
      <c r="F160" s="11" t="s">
        <v>734</v>
      </c>
      <c r="G160" s="314">
        <v>3.9489999999999998</v>
      </c>
      <c r="H160" s="10"/>
      <c r="I160" s="29">
        <f t="shared" si="134"/>
        <v>-0.56536999999999971</v>
      </c>
      <c r="J160" s="296"/>
    </row>
    <row r="161" spans="1:10">
      <c r="C161" s="16">
        <v>3.2342000000000004</v>
      </c>
      <c r="D161" s="16">
        <f t="shared" si="133"/>
        <v>3.14</v>
      </c>
      <c r="E161" s="370">
        <v>40026</v>
      </c>
      <c r="F161" s="10" t="s">
        <v>735</v>
      </c>
      <c r="G161" s="314">
        <v>3.379</v>
      </c>
      <c r="H161" s="10"/>
      <c r="I161" s="29">
        <f t="shared" si="134"/>
        <v>-0.23899999999999988</v>
      </c>
      <c r="J161" s="296"/>
    </row>
    <row r="162" spans="1:10">
      <c r="C162" s="16">
        <v>3.0627050000000002</v>
      </c>
      <c r="D162" s="16">
        <f t="shared" si="133"/>
        <v>2.9735</v>
      </c>
      <c r="E162" s="370">
        <v>40057</v>
      </c>
      <c r="F162" s="10" t="s">
        <v>736</v>
      </c>
      <c r="G162" s="314">
        <v>2.843</v>
      </c>
      <c r="H162" s="10"/>
      <c r="I162" s="29">
        <f t="shared" si="134"/>
        <v>0.13050000000000006</v>
      </c>
      <c r="J162" s="296"/>
    </row>
    <row r="163" spans="1:10">
      <c r="C163" s="16">
        <v>4.1229354999999996</v>
      </c>
      <c r="D163" s="16">
        <f t="shared" si="133"/>
        <v>4.0028499999999996</v>
      </c>
      <c r="E163" s="370">
        <v>40087</v>
      </c>
      <c r="F163" s="10" t="s">
        <v>737</v>
      </c>
      <c r="G163" s="314">
        <v>3.73</v>
      </c>
      <c r="H163" s="10"/>
      <c r="I163" s="29">
        <f t="shared" si="134"/>
        <v>0.27284999999999959</v>
      </c>
      <c r="J163" s="296"/>
    </row>
    <row r="164" spans="1:10">
      <c r="A164" s="10" t="s">
        <v>478</v>
      </c>
      <c r="B164" s="16">
        <f>AVERAGE(D164:D168)</f>
        <v>4.8879999999999999</v>
      </c>
      <c r="C164" s="16">
        <v>3.7698</v>
      </c>
      <c r="D164" s="16">
        <f t="shared" si="133"/>
        <v>3.66</v>
      </c>
      <c r="E164" s="370">
        <v>40118</v>
      </c>
      <c r="F164" s="10" t="s">
        <v>738</v>
      </c>
      <c r="G164" s="314">
        <v>4.2889999999999997</v>
      </c>
      <c r="H164" s="16">
        <f>AVERAGE(G164:G168)</f>
        <v>4.9357999999999995</v>
      </c>
      <c r="I164" s="29">
        <f t="shared" si="134"/>
        <v>-0.62899999999999956</v>
      </c>
      <c r="J164" s="296"/>
    </row>
    <row r="165" spans="1:10">
      <c r="C165" s="16">
        <v>5.5002000000000004</v>
      </c>
      <c r="D165" s="16">
        <f t="shared" si="133"/>
        <v>5.34</v>
      </c>
      <c r="E165" s="370">
        <v>40148</v>
      </c>
      <c r="F165" s="10" t="s">
        <v>739</v>
      </c>
      <c r="G165" s="314">
        <v>4.4859999999999998</v>
      </c>
      <c r="H165" s="10"/>
      <c r="I165" s="29">
        <f t="shared" si="134"/>
        <v>0.85400000000000009</v>
      </c>
      <c r="J165" s="296"/>
    </row>
    <row r="166" spans="1:10">
      <c r="A166" s="24" t="s">
        <v>887</v>
      </c>
      <c r="B166" s="81">
        <f>AVERAGE(D166:D177)</f>
        <v>4.3866666666666676</v>
      </c>
      <c r="C166" s="16">
        <v>6.0049000000000001</v>
      </c>
      <c r="D166" s="16">
        <f t="shared" si="133"/>
        <v>5.83</v>
      </c>
      <c r="E166" s="370">
        <v>40179</v>
      </c>
      <c r="F166" s="10" t="s">
        <v>728</v>
      </c>
      <c r="G166" s="314">
        <v>5.8140000000000001</v>
      </c>
      <c r="H166" s="17">
        <f>AVERAGE(G166:G177)</f>
        <v>4.392500000000001</v>
      </c>
      <c r="I166" s="29">
        <f t="shared" si="134"/>
        <v>1.6000000000000014E-2</v>
      </c>
      <c r="J166" s="296"/>
    </row>
    <row r="167" spans="1:10">
      <c r="C167" s="16">
        <v>5.4796000000000005</v>
      </c>
      <c r="D167" s="16">
        <f t="shared" si="133"/>
        <v>5.32</v>
      </c>
      <c r="E167" s="370">
        <v>40210</v>
      </c>
      <c r="F167" s="10" t="s">
        <v>729</v>
      </c>
      <c r="G167" s="314">
        <v>5.274</v>
      </c>
      <c r="H167" s="10"/>
      <c r="I167" s="29">
        <f t="shared" si="134"/>
        <v>4.6000000000000263E-2</v>
      </c>
      <c r="J167" s="296"/>
    </row>
    <row r="168" spans="1:10">
      <c r="C168" s="16">
        <v>4.4187000000000003</v>
      </c>
      <c r="D168" s="16">
        <f t="shared" si="133"/>
        <v>4.29</v>
      </c>
      <c r="E168" s="370">
        <v>40238</v>
      </c>
      <c r="F168" s="10" t="s">
        <v>730</v>
      </c>
      <c r="G168" s="314">
        <v>4.8159999999999998</v>
      </c>
      <c r="H168" s="10"/>
      <c r="I168" s="29">
        <f t="shared" si="134"/>
        <v>-0.5259999999999998</v>
      </c>
      <c r="J168" s="296"/>
    </row>
    <row r="169" spans="1:10">
      <c r="A169" s="24" t="s">
        <v>477</v>
      </c>
      <c r="B169" s="17">
        <f>AVERAGE(D169:D175)</f>
        <v>4.177142857142857</v>
      </c>
      <c r="C169" s="16">
        <v>4.1509</v>
      </c>
      <c r="D169" s="16">
        <f t="shared" si="133"/>
        <v>4.03</v>
      </c>
      <c r="E169" s="370">
        <v>40269</v>
      </c>
      <c r="F169" s="10" t="s">
        <v>731</v>
      </c>
      <c r="G169" s="314">
        <v>3.8420000000000001</v>
      </c>
      <c r="H169" s="17">
        <f>AVERAGE(G169:G175)</f>
        <v>4.1781428571428574</v>
      </c>
      <c r="I169" s="29">
        <f t="shared" si="134"/>
        <v>0.18800000000000017</v>
      </c>
      <c r="J169" s="296"/>
    </row>
    <row r="170" spans="1:10">
      <c r="C170" s="16">
        <v>4.2641999999999998</v>
      </c>
      <c r="D170" s="16">
        <f t="shared" si="133"/>
        <v>4.1399999999999997</v>
      </c>
      <c r="E170" s="370">
        <v>40299</v>
      </c>
      <c r="F170" s="10" t="s">
        <v>732</v>
      </c>
      <c r="G170" s="314">
        <v>4.2709999999999999</v>
      </c>
      <c r="I170" s="29">
        <f t="shared" si="134"/>
        <v>-0.13100000000000023</v>
      </c>
      <c r="J170" s="296"/>
    </row>
    <row r="171" spans="1:10">
      <c r="C171" s="16">
        <v>4.944</v>
      </c>
      <c r="D171" s="16">
        <f t="shared" si="133"/>
        <v>4.8</v>
      </c>
      <c r="E171" s="370">
        <v>40330</v>
      </c>
      <c r="F171" s="10" t="s">
        <v>733</v>
      </c>
      <c r="G171" s="314">
        <v>4.1550000000000002</v>
      </c>
      <c r="I171" s="29">
        <f t="shared" si="134"/>
        <v>0.64499999999999957</v>
      </c>
      <c r="J171" s="296"/>
    </row>
    <row r="172" spans="1:10">
      <c r="C172" s="16">
        <v>4.7689000000000004</v>
      </c>
      <c r="D172" s="16">
        <f t="shared" si="133"/>
        <v>4.63</v>
      </c>
      <c r="E172" s="370">
        <v>40360</v>
      </c>
      <c r="F172" s="11" t="s">
        <v>734</v>
      </c>
      <c r="G172" s="314">
        <v>4.7169999999999996</v>
      </c>
      <c r="I172" s="29">
        <f t="shared" si="134"/>
        <v>-8.6999999999999744E-2</v>
      </c>
      <c r="J172" s="296"/>
    </row>
    <row r="173" spans="1:10">
      <c r="C173" s="16">
        <v>4.4496000000000002</v>
      </c>
      <c r="D173" s="16">
        <f t="shared" si="133"/>
        <v>4.32</v>
      </c>
      <c r="E173" s="370">
        <v>40391</v>
      </c>
      <c r="F173" s="10" t="s">
        <v>735</v>
      </c>
      <c r="G173" s="314">
        <v>4.774</v>
      </c>
      <c r="I173" s="29">
        <f t="shared" si="134"/>
        <v>-0.45399999999999974</v>
      </c>
      <c r="J173" s="296"/>
    </row>
    <row r="174" spans="1:10">
      <c r="C174" s="16">
        <v>4.0067000000000004</v>
      </c>
      <c r="D174" s="16">
        <f t="shared" si="133"/>
        <v>3.89</v>
      </c>
      <c r="E174" s="370">
        <v>40422</v>
      </c>
      <c r="F174" s="10" t="s">
        <v>736</v>
      </c>
      <c r="G174" s="314">
        <v>3.6509999999999998</v>
      </c>
      <c r="I174" s="29">
        <f t="shared" si="134"/>
        <v>0.23900000000000032</v>
      </c>
      <c r="J174" s="296"/>
    </row>
    <row r="175" spans="1:10">
      <c r="C175" s="16">
        <v>3.5329000000000002</v>
      </c>
      <c r="D175" s="16">
        <f t="shared" si="133"/>
        <v>3.43</v>
      </c>
      <c r="E175" s="370">
        <v>40462</v>
      </c>
      <c r="F175" s="10" t="s">
        <v>737</v>
      </c>
      <c r="G175" s="314">
        <v>3.8370000000000002</v>
      </c>
      <c r="I175" s="29">
        <f t="shared" si="134"/>
        <v>-0.40700000000000003</v>
      </c>
      <c r="J175" s="296"/>
    </row>
    <row r="176" spans="1:10">
      <c r="A176" s="280" t="s">
        <v>478</v>
      </c>
      <c r="B176" s="206">
        <f>AVERAGE(D176:D180)</f>
        <v>4.1019999999999994</v>
      </c>
      <c r="C176" s="16">
        <v>3.8212999999999999</v>
      </c>
      <c r="D176" s="16">
        <f t="shared" si="133"/>
        <v>3.71</v>
      </c>
      <c r="E176" s="370">
        <v>40483</v>
      </c>
      <c r="F176" s="10" t="s">
        <v>738</v>
      </c>
      <c r="G176" s="314">
        <v>3.2919999999999998</v>
      </c>
      <c r="H176" s="206">
        <f>AVERAGE(G176:G180)</f>
        <v>3.9767999999999999</v>
      </c>
      <c r="I176" s="29">
        <f t="shared" si="134"/>
        <v>0.41800000000000015</v>
      </c>
      <c r="J176" s="296"/>
    </row>
    <row r="177" spans="1:10">
      <c r="C177" s="16">
        <v>4.3775000000000004</v>
      </c>
      <c r="D177" s="16">
        <f t="shared" si="133"/>
        <v>4.25</v>
      </c>
      <c r="E177" s="370">
        <v>40513</v>
      </c>
      <c r="F177" s="10" t="s">
        <v>739</v>
      </c>
      <c r="G177" s="314">
        <v>4.2670000000000003</v>
      </c>
      <c r="I177" s="29">
        <f t="shared" si="134"/>
        <v>-1.7000000000000348E-2</v>
      </c>
      <c r="J177" s="296"/>
    </row>
    <row r="178" spans="1:10">
      <c r="A178" s="280" t="s">
        <v>887</v>
      </c>
      <c r="B178" s="410">
        <f>AVERAGE(D178:D189)</f>
        <v>4.2349999999999994</v>
      </c>
      <c r="C178" s="16">
        <v>4.6247000000000007</v>
      </c>
      <c r="D178" s="16">
        <f t="shared" si="133"/>
        <v>4.49</v>
      </c>
      <c r="E178" s="370">
        <v>40544</v>
      </c>
      <c r="F178" s="10" t="s">
        <v>728</v>
      </c>
      <c r="G178" s="314">
        <v>4.2160000000000002</v>
      </c>
      <c r="H178" s="206">
        <f>AVERAGE(G178:G189)</f>
        <v>4.2090833333333331</v>
      </c>
      <c r="I178" s="29">
        <f t="shared" si="134"/>
        <v>0.27400000000000002</v>
      </c>
      <c r="J178" s="296"/>
    </row>
    <row r="179" spans="1:10">
      <c r="C179" s="16">
        <v>4.2126999999999999</v>
      </c>
      <c r="D179" s="16">
        <f t="shared" si="133"/>
        <v>4.09</v>
      </c>
      <c r="E179" s="370">
        <v>40575</v>
      </c>
      <c r="F179" s="10" t="s">
        <v>729</v>
      </c>
      <c r="G179" s="314">
        <v>4.3159999999999998</v>
      </c>
      <c r="I179" s="29">
        <f t="shared" si="134"/>
        <v>-0.22599999999999998</v>
      </c>
      <c r="J179" s="296"/>
    </row>
    <row r="180" spans="1:10">
      <c r="C180" s="16">
        <v>4.0891000000000002</v>
      </c>
      <c r="D180" s="16">
        <f t="shared" si="133"/>
        <v>3.97</v>
      </c>
      <c r="E180" s="370">
        <v>40603</v>
      </c>
      <c r="F180" s="10" t="s">
        <v>730</v>
      </c>
      <c r="G180" s="314">
        <v>3.7930000000000001</v>
      </c>
      <c r="I180" s="29">
        <f t="shared" si="134"/>
        <v>0.17700000000000005</v>
      </c>
      <c r="J180" s="296"/>
    </row>
    <row r="181" spans="1:10">
      <c r="A181" s="280" t="s">
        <v>477</v>
      </c>
      <c r="B181" s="206">
        <f>AVERAGE(D181:D187)</f>
        <v>4.2557142857142853</v>
      </c>
      <c r="C181" s="16">
        <v>4.3775000000000004</v>
      </c>
      <c r="D181" s="16">
        <f t="shared" si="133"/>
        <v>4.25</v>
      </c>
      <c r="E181" s="370">
        <v>40634</v>
      </c>
      <c r="F181" s="10" t="s">
        <v>731</v>
      </c>
      <c r="G181" s="314">
        <v>4.24</v>
      </c>
      <c r="H181" s="206">
        <f>AVERAGE(G181:G187)</f>
        <v>4.2327142857142857</v>
      </c>
      <c r="I181" s="29">
        <f t="shared" si="134"/>
        <v>9.9999999999997868E-3</v>
      </c>
      <c r="J181" s="296"/>
    </row>
    <row r="182" spans="1:10">
      <c r="C182" s="16">
        <v>4.4392999999999994</v>
      </c>
      <c r="D182" s="16">
        <f t="shared" si="133"/>
        <v>4.3099999999999996</v>
      </c>
      <c r="E182" s="370">
        <v>40664</v>
      </c>
      <c r="F182" s="10" t="s">
        <v>732</v>
      </c>
      <c r="G182" s="314">
        <v>4.3769999999999998</v>
      </c>
      <c r="I182" s="29">
        <f t="shared" si="134"/>
        <v>-6.7000000000000171E-2</v>
      </c>
      <c r="J182" s="296"/>
    </row>
    <row r="183" spans="1:10">
      <c r="C183" s="16">
        <v>4.6864999999999997</v>
      </c>
      <c r="D183" s="16">
        <f t="shared" si="133"/>
        <v>4.55</v>
      </c>
      <c r="E183" s="370">
        <v>40695</v>
      </c>
      <c r="F183" s="10" t="s">
        <v>733</v>
      </c>
      <c r="G183" s="314">
        <v>4.3259999999999996</v>
      </c>
      <c r="I183" s="29">
        <f t="shared" si="134"/>
        <v>0.2240000000000002</v>
      </c>
      <c r="J183" s="296"/>
    </row>
    <row r="184" spans="1:10">
      <c r="C184" s="16">
        <v>4.5526</v>
      </c>
      <c r="D184" s="16">
        <f t="shared" si="133"/>
        <v>4.42</v>
      </c>
      <c r="E184" s="370">
        <v>40725</v>
      </c>
      <c r="F184" s="10" t="s">
        <v>734</v>
      </c>
      <c r="G184" s="314">
        <v>4.3570000000000002</v>
      </c>
      <c r="I184" s="29">
        <f t="shared" si="134"/>
        <v>6.2999999999999723E-2</v>
      </c>
      <c r="J184" s="296"/>
    </row>
    <row r="185" spans="1:10">
      <c r="C185" s="16">
        <v>4.2332999999999998</v>
      </c>
      <c r="D185" s="16">
        <f t="shared" si="133"/>
        <v>4.1099999999999994</v>
      </c>
      <c r="E185" s="370">
        <v>40756</v>
      </c>
      <c r="F185" s="10" t="s">
        <v>735</v>
      </c>
      <c r="G185" s="314">
        <v>4.32</v>
      </c>
      <c r="I185" s="29">
        <f t="shared" si="134"/>
        <v>-0.21000000000000085</v>
      </c>
    </row>
    <row r="186" spans="1:10">
      <c r="C186" s="16">
        <v>4.1920999999999999</v>
      </c>
      <c r="D186" s="16">
        <f t="shared" si="133"/>
        <v>4.0699999999999994</v>
      </c>
      <c r="E186" s="370">
        <v>40787</v>
      </c>
      <c r="F186" s="10" t="s">
        <v>736</v>
      </c>
      <c r="G186" s="344">
        <v>3.9940000000000002</v>
      </c>
      <c r="I186" s="29">
        <f t="shared" si="134"/>
        <v>7.5999999999999179E-2</v>
      </c>
    </row>
    <row r="187" spans="1:10">
      <c r="C187" s="16">
        <v>4.2023999999999999</v>
      </c>
      <c r="D187" s="16">
        <f t="shared" si="133"/>
        <v>4.08</v>
      </c>
      <c r="E187" s="370">
        <v>40817</v>
      </c>
      <c r="F187" s="10" t="s">
        <v>737</v>
      </c>
      <c r="G187" s="344">
        <v>4.0149999999999997</v>
      </c>
      <c r="I187" s="29">
        <f t="shared" si="134"/>
        <v>6.5000000000000391E-2</v>
      </c>
    </row>
    <row r="188" spans="1:10">
      <c r="A188" s="280" t="s">
        <v>478</v>
      </c>
      <c r="B188" s="206">
        <f>AVERAGE(D188:D192)</f>
        <v>4.306</v>
      </c>
      <c r="C188" s="16">
        <v>4.2847999999999997</v>
      </c>
      <c r="D188" s="16">
        <f t="shared" si="133"/>
        <v>4.1599999999999993</v>
      </c>
      <c r="E188" s="370">
        <v>40848</v>
      </c>
      <c r="F188" s="10" t="s">
        <v>738</v>
      </c>
      <c r="G188" s="344">
        <v>4.1669999999999998</v>
      </c>
      <c r="H188" s="206">
        <f>AVERAGE(G188:G192)</f>
        <v>4.3968000000000007</v>
      </c>
      <c r="I188" s="29">
        <f t="shared" si="134"/>
        <v>-7.0000000000005613E-3</v>
      </c>
    </row>
    <row r="189" spans="1:10">
      <c r="C189" s="16">
        <v>4.4496000000000002</v>
      </c>
      <c r="D189" s="16">
        <f t="shared" si="133"/>
        <v>4.32</v>
      </c>
      <c r="E189" s="370">
        <v>40878</v>
      </c>
      <c r="F189" s="10" t="s">
        <v>739</v>
      </c>
      <c r="G189" s="344">
        <v>4.3879999999999999</v>
      </c>
      <c r="I189" s="29">
        <f t="shared" si="134"/>
        <v>-6.7999999999999616E-2</v>
      </c>
    </row>
    <row r="190" spans="1:10">
      <c r="A190" s="423" t="s">
        <v>887</v>
      </c>
      <c r="B190" s="410">
        <f>AVERAGE(D190:D201)</f>
        <v>4.4133333333333331</v>
      </c>
      <c r="C190" s="16">
        <v>4.5629</v>
      </c>
      <c r="D190" s="16">
        <f t="shared" si="133"/>
        <v>4.43</v>
      </c>
      <c r="E190" s="370">
        <v>40909</v>
      </c>
      <c r="F190" s="10" t="s">
        <v>728</v>
      </c>
      <c r="G190" s="344">
        <v>4.4850000000000003</v>
      </c>
      <c r="H190" s="424">
        <f>AVERAGE(G190:G201)</f>
        <v>4.5497500000000004</v>
      </c>
      <c r="I190" s="29">
        <f t="shared" si="134"/>
        <v>-5.5000000000000604E-2</v>
      </c>
    </row>
    <row r="191" spans="1:10">
      <c r="C191" s="16">
        <v>4.4599000000000002</v>
      </c>
      <c r="D191" s="16">
        <f t="shared" si="133"/>
        <v>4.33</v>
      </c>
      <c r="E191" s="370">
        <v>40940</v>
      </c>
      <c r="F191" s="10" t="s">
        <v>729</v>
      </c>
      <c r="G191" s="344">
        <v>4.4859999999999998</v>
      </c>
      <c r="I191" s="29">
        <f t="shared" si="134"/>
        <v>-0.15599999999999969</v>
      </c>
    </row>
    <row r="192" spans="1:10">
      <c r="C192" s="16">
        <v>4.4187000000000003</v>
      </c>
      <c r="D192" s="16">
        <f t="shared" si="133"/>
        <v>4.29</v>
      </c>
      <c r="E192" s="370">
        <v>40969</v>
      </c>
      <c r="F192" s="10" t="s">
        <v>730</v>
      </c>
      <c r="G192" s="344">
        <v>4.4580000000000002</v>
      </c>
      <c r="I192" s="29">
        <f t="shared" si="134"/>
        <v>-0.16800000000000015</v>
      </c>
    </row>
    <row r="193" spans="1:9">
      <c r="A193" s="468" t="s">
        <v>477</v>
      </c>
      <c r="B193" s="469">
        <f>AVERAGE(D193:D199)</f>
        <v>4.3085714285714287</v>
      </c>
      <c r="C193" s="16">
        <v>4.3672000000000004</v>
      </c>
      <c r="D193" s="16">
        <f t="shared" si="133"/>
        <v>4.24</v>
      </c>
      <c r="E193" s="370">
        <v>41000</v>
      </c>
      <c r="F193" s="10" t="s">
        <v>731</v>
      </c>
      <c r="G193" s="344">
        <v>4.4130000000000003</v>
      </c>
      <c r="H193" s="16">
        <f>AVERAGE(G193:G199)</f>
        <v>4.496428571428571</v>
      </c>
      <c r="I193" s="29">
        <f t="shared" si="134"/>
        <v>-0.17300000000000004</v>
      </c>
    </row>
    <row r="194" spans="1:9">
      <c r="C194" s="16">
        <v>4.2950999999999997</v>
      </c>
      <c r="D194" s="16">
        <f t="shared" si="133"/>
        <v>4.17</v>
      </c>
      <c r="E194" s="370">
        <v>41030</v>
      </c>
      <c r="F194" s="10" t="s">
        <v>732</v>
      </c>
      <c r="G194" s="344">
        <v>4.4390000000000001</v>
      </c>
      <c r="I194" s="29">
        <f t="shared" si="134"/>
        <v>-0.26900000000000013</v>
      </c>
    </row>
    <row r="195" spans="1:9">
      <c r="C195" s="16">
        <v>4.2744999999999997</v>
      </c>
      <c r="D195" s="16">
        <f t="shared" si="133"/>
        <v>4.1499999999999995</v>
      </c>
      <c r="E195" s="370">
        <v>41061</v>
      </c>
      <c r="F195" s="10" t="s">
        <v>733</v>
      </c>
      <c r="G195" s="344">
        <v>4.4710000000000001</v>
      </c>
      <c r="I195" s="29">
        <f t="shared" si="134"/>
        <v>-0.32100000000000062</v>
      </c>
    </row>
    <row r="196" spans="1:9">
      <c r="C196" s="16">
        <v>4.2950999999999997</v>
      </c>
      <c r="D196" s="16">
        <f t="shared" si="133"/>
        <v>4.17</v>
      </c>
      <c r="E196" s="370">
        <v>41091</v>
      </c>
      <c r="F196" s="10" t="s">
        <v>734</v>
      </c>
      <c r="G196" s="344">
        <v>4.51</v>
      </c>
      <c r="I196" s="29">
        <f t="shared" si="134"/>
        <v>-0.33999999999999986</v>
      </c>
    </row>
    <row r="197" spans="1:9">
      <c r="C197" s="16">
        <v>4.5011000000000001</v>
      </c>
      <c r="D197" s="16">
        <f t="shared" si="133"/>
        <v>4.37</v>
      </c>
      <c r="E197" s="370">
        <v>41122</v>
      </c>
      <c r="F197" s="10" t="s">
        <v>735</v>
      </c>
      <c r="G197" s="344">
        <v>4.5339999999999998</v>
      </c>
      <c r="I197" s="29">
        <f t="shared" si="134"/>
        <v>-0.1639999999999997</v>
      </c>
    </row>
    <row r="198" spans="1:9">
      <c r="C198" s="16">
        <v>4.5731999999999999</v>
      </c>
      <c r="D198" s="16">
        <f t="shared" si="133"/>
        <v>4.4399999999999995</v>
      </c>
      <c r="E198" s="370">
        <v>41153</v>
      </c>
      <c r="F198" s="10" t="s">
        <v>736</v>
      </c>
      <c r="G198" s="344">
        <v>4.5380000000000003</v>
      </c>
      <c r="I198" s="29">
        <f t="shared" si="134"/>
        <v>-9.8000000000000753E-2</v>
      </c>
    </row>
    <row r="199" spans="1:9">
      <c r="C199" s="16">
        <v>4.7586000000000004</v>
      </c>
      <c r="D199" s="16">
        <f t="shared" si="133"/>
        <v>4.62</v>
      </c>
      <c r="E199" s="370">
        <v>41183</v>
      </c>
      <c r="F199" s="10" t="s">
        <v>737</v>
      </c>
      <c r="G199" s="344">
        <v>4.57</v>
      </c>
      <c r="I199" s="29">
        <f t="shared" si="134"/>
        <v>4.9999999999999822E-2</v>
      </c>
    </row>
    <row r="200" spans="1:9">
      <c r="C200" s="16">
        <v>4.8719000000000001</v>
      </c>
      <c r="D200" s="16">
        <f t="shared" si="133"/>
        <v>4.7300000000000004</v>
      </c>
      <c r="E200" s="370">
        <v>41214</v>
      </c>
      <c r="F200" s="10" t="s">
        <v>738</v>
      </c>
      <c r="G200" s="344">
        <v>4.7300000000000004</v>
      </c>
      <c r="H200" s="16">
        <f>AVERAGE(G200:G204)</f>
        <v>4.968</v>
      </c>
      <c r="I200" s="29">
        <f t="shared" si="134"/>
        <v>0</v>
      </c>
    </row>
    <row r="201" spans="1:9">
      <c r="C201" s="16">
        <v>5.1706000000000003</v>
      </c>
      <c r="D201" s="16">
        <f t="shared" si="133"/>
        <v>5.0200000000000005</v>
      </c>
      <c r="E201" s="370">
        <v>41244</v>
      </c>
      <c r="F201" s="10" t="s">
        <v>739</v>
      </c>
      <c r="G201" s="344">
        <v>4.9630000000000001</v>
      </c>
      <c r="I201" s="29">
        <f t="shared" si="134"/>
        <v>5.7000000000000384E-2</v>
      </c>
    </row>
    <row r="202" spans="1:9">
      <c r="E202" s="370">
        <v>41275</v>
      </c>
      <c r="F202" s="10" t="s">
        <v>728</v>
      </c>
      <c r="G202" s="344">
        <v>5.09</v>
      </c>
    </row>
    <row r="203" spans="1:9">
      <c r="E203" s="370">
        <v>41306</v>
      </c>
      <c r="F203" s="10" t="s">
        <v>729</v>
      </c>
      <c r="G203" s="344">
        <v>5.0629999999999997</v>
      </c>
    </row>
    <row r="204" spans="1:9">
      <c r="E204" s="370">
        <v>41334</v>
      </c>
      <c r="F204" s="10" t="s">
        <v>730</v>
      </c>
      <c r="G204" s="344">
        <v>4.9939999999999998</v>
      </c>
    </row>
    <row r="205" spans="1:9">
      <c r="E205" s="370">
        <v>41365</v>
      </c>
      <c r="F205" s="10" t="s">
        <v>731</v>
      </c>
      <c r="G205" s="362">
        <v>4.8259999999999996</v>
      </c>
    </row>
    <row r="206" spans="1:9">
      <c r="E206" s="370">
        <v>41395</v>
      </c>
      <c r="F206" s="10" t="s">
        <v>732</v>
      </c>
      <c r="G206" s="362">
        <v>4.8380000000000001</v>
      </c>
    </row>
    <row r="207" spans="1:9">
      <c r="E207" s="370">
        <v>41426</v>
      </c>
      <c r="F207" s="10" t="s">
        <v>733</v>
      </c>
      <c r="G207" s="362">
        <v>4.8730000000000002</v>
      </c>
    </row>
    <row r="208" spans="1:9">
      <c r="E208" s="370">
        <v>41456</v>
      </c>
      <c r="F208" s="10" t="s">
        <v>734</v>
      </c>
      <c r="G208" s="362">
        <v>4.9059999999999997</v>
      </c>
    </row>
    <row r="209" spans="5:7">
      <c r="E209" s="370">
        <v>41487</v>
      </c>
      <c r="F209" s="10" t="s">
        <v>735</v>
      </c>
      <c r="G209" s="362">
        <v>4.9279999999999999</v>
      </c>
    </row>
    <row r="210" spans="5:7">
      <c r="E210" s="370">
        <v>41518</v>
      </c>
      <c r="F210" s="10" t="s">
        <v>736</v>
      </c>
      <c r="G210" s="362">
        <v>4.9329999999999998</v>
      </c>
    </row>
    <row r="211" spans="5:7">
      <c r="E211" s="370">
        <v>41548</v>
      </c>
      <c r="F211" s="10" t="s">
        <v>737</v>
      </c>
      <c r="G211" s="362">
        <v>4.9690000000000003</v>
      </c>
    </row>
    <row r="212" spans="5:7">
      <c r="E212" s="370">
        <v>41579</v>
      </c>
      <c r="F212" s="10" t="s">
        <v>738</v>
      </c>
      <c r="G212" s="362">
        <v>5.1050000000000004</v>
      </c>
    </row>
    <row r="213" spans="5:7">
      <c r="E213" s="370">
        <v>41609</v>
      </c>
      <c r="F213" s="10" t="s">
        <v>739</v>
      </c>
      <c r="G213" s="362">
        <v>5.335</v>
      </c>
    </row>
    <row r="214" spans="5:7">
      <c r="E214" s="370">
        <v>41640</v>
      </c>
      <c r="F214" s="10" t="s">
        <v>728</v>
      </c>
      <c r="G214" s="362">
        <v>5.452</v>
      </c>
    </row>
    <row r="215" spans="5:7">
      <c r="E215" s="370">
        <v>41671</v>
      </c>
      <c r="F215" s="10" t="s">
        <v>729</v>
      </c>
      <c r="G215" s="362">
        <v>5.4219999999999997</v>
      </c>
    </row>
    <row r="216" spans="5:7">
      <c r="E216" s="370">
        <v>41699</v>
      </c>
      <c r="F216" s="10" t="s">
        <v>730</v>
      </c>
      <c r="G216" s="362">
        <v>5.34</v>
      </c>
    </row>
    <row r="217" spans="5:7">
      <c r="E217" s="370">
        <v>41730</v>
      </c>
      <c r="F217" s="10" t="s">
        <v>731</v>
      </c>
      <c r="G217" s="362">
        <v>5.0679999999999996</v>
      </c>
    </row>
    <row r="218" spans="5:7">
      <c r="E218" s="370">
        <v>41760</v>
      </c>
      <c r="F218" s="10" t="s">
        <v>732</v>
      </c>
      <c r="G218" s="362">
        <v>5.0780000000000003</v>
      </c>
    </row>
    <row r="219" spans="5:7">
      <c r="E219" s="370">
        <v>41791</v>
      </c>
      <c r="F219" s="10" t="s">
        <v>733</v>
      </c>
      <c r="G219" s="362">
        <v>5.1079999999999997</v>
      </c>
    </row>
    <row r="220" spans="5:7">
      <c r="E220" s="370">
        <v>41821</v>
      </c>
      <c r="F220" s="10" t="s">
        <v>734</v>
      </c>
      <c r="G220" s="362">
        <v>5.1420000000000003</v>
      </c>
    </row>
    <row r="221" spans="5:7">
      <c r="E221" s="370">
        <v>41852</v>
      </c>
      <c r="F221" s="10" t="s">
        <v>735</v>
      </c>
      <c r="G221" s="362">
        <v>5.17</v>
      </c>
    </row>
  </sheetData>
  <phoneticPr fontId="0" type="noConversion"/>
  <pageMargins left="0.75" right="0.75" top="1" bottom="1" header="0.5" footer="0.5"/>
  <pageSetup orientation="portrait" horizontalDpi="1200" verticalDpi="1200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IV46"/>
  <sheetViews>
    <sheetView zoomScale="50" workbookViewId="0">
      <pane xSplit="1" ySplit="2" topLeftCell="I3" activePane="bottomRight" state="frozen"/>
      <selection activeCell="I74" sqref="I74"/>
      <selection pane="topRight" activeCell="I74" sqref="I74"/>
      <selection pane="bottomLeft" activeCell="I74" sqref="I74"/>
      <selection pane="bottomRight" activeCell="M12" sqref="M12"/>
    </sheetView>
  </sheetViews>
  <sheetFormatPr defaultRowHeight="20.25"/>
  <cols>
    <col min="1" max="1" width="41.21875" style="1" bestFit="1" customWidth="1"/>
    <col min="2" max="4" width="15.88671875" style="1" bestFit="1" customWidth="1"/>
    <col min="5" max="5" width="18.33203125" style="1" bestFit="1" customWidth="1"/>
    <col min="6" max="8" width="15.88671875" style="1" bestFit="1" customWidth="1"/>
    <col min="9" max="9" width="18.33203125" style="1" bestFit="1" customWidth="1"/>
    <col min="10" max="10" width="17" style="1" bestFit="1" customWidth="1"/>
    <col min="11" max="11" width="15.44140625" style="1" bestFit="1" customWidth="1"/>
    <col min="12" max="20" width="15.88671875" style="1" bestFit="1" customWidth="1"/>
    <col min="21" max="23" width="15.44140625" style="1" bestFit="1" customWidth="1"/>
    <col min="24" max="38" width="15.88671875" style="1" bestFit="1" customWidth="1"/>
    <col min="39" max="39" width="13.88671875" style="1" bestFit="1" customWidth="1"/>
    <col min="40" max="40" width="12.109375" style="1" bestFit="1" customWidth="1"/>
    <col min="41" max="16384" width="8.88671875" style="1"/>
  </cols>
  <sheetData>
    <row r="1" spans="1:256">
      <c r="A1" s="22">
        <f>SUM(C8:F8)</f>
        <v>1874868</v>
      </c>
      <c r="B1" s="16">
        <f>AVERAGE(C9:F9)</f>
        <v>4.1673556869497173</v>
      </c>
      <c r="C1" s="13" t="s">
        <v>55</v>
      </c>
      <c r="D1" s="28">
        <f>2473266+285000</f>
        <v>2758266</v>
      </c>
      <c r="E1" s="128"/>
      <c r="F1" s="37"/>
      <c r="G1" s="37"/>
      <c r="H1" s="37"/>
      <c r="I1" s="37"/>
      <c r="J1" s="37"/>
      <c r="K1" s="37"/>
      <c r="L1" s="37"/>
      <c r="M1" s="37"/>
      <c r="N1" s="37"/>
      <c r="O1" s="13" t="s">
        <v>55</v>
      </c>
      <c r="P1" s="28">
        <f>2473266+285000</f>
        <v>2758266</v>
      </c>
      <c r="AA1" s="13" t="s">
        <v>55</v>
      </c>
      <c r="AB1" s="28">
        <f>2473266+285000</f>
        <v>2758266</v>
      </c>
      <c r="AM1" s="13" t="s">
        <v>55</v>
      </c>
      <c r="AN1" s="28">
        <f>2473266+285000</f>
        <v>2758266</v>
      </c>
    </row>
    <row r="2" spans="1:256" s="10" customFormat="1">
      <c r="B2" s="46">
        <v>40330</v>
      </c>
      <c r="C2" s="46">
        <v>40360</v>
      </c>
      <c r="D2" s="46">
        <v>40391</v>
      </c>
      <c r="E2" s="46">
        <v>40422</v>
      </c>
      <c r="F2" s="46">
        <v>40452</v>
      </c>
      <c r="G2" s="46">
        <v>40483</v>
      </c>
      <c r="H2" s="46">
        <v>40513</v>
      </c>
      <c r="I2" s="46">
        <v>40544</v>
      </c>
      <c r="J2" s="46">
        <v>40575</v>
      </c>
      <c r="K2" s="46">
        <v>40603</v>
      </c>
      <c r="L2" s="46">
        <v>40634</v>
      </c>
      <c r="M2" s="46">
        <v>40664</v>
      </c>
      <c r="N2" s="46">
        <v>40695</v>
      </c>
      <c r="O2" s="46">
        <v>40725</v>
      </c>
      <c r="P2" s="46">
        <v>40756</v>
      </c>
      <c r="Q2" s="46">
        <v>40787</v>
      </c>
      <c r="R2" s="46">
        <v>40817</v>
      </c>
      <c r="S2" s="46">
        <v>40848</v>
      </c>
      <c r="T2" s="46">
        <v>40878</v>
      </c>
      <c r="U2" s="46">
        <v>40909</v>
      </c>
      <c r="V2" s="46">
        <v>40940</v>
      </c>
      <c r="W2" s="46">
        <v>40969</v>
      </c>
      <c r="X2" s="46">
        <v>41000</v>
      </c>
      <c r="Y2" s="46">
        <v>41030</v>
      </c>
      <c r="Z2" s="46">
        <v>41061</v>
      </c>
      <c r="AA2" s="46">
        <v>41091</v>
      </c>
      <c r="AB2" s="46">
        <v>41122</v>
      </c>
      <c r="AC2" s="46">
        <v>41153</v>
      </c>
      <c r="AD2" s="46">
        <v>41183</v>
      </c>
      <c r="AE2" s="46">
        <v>41214</v>
      </c>
      <c r="AF2" s="46">
        <v>41244</v>
      </c>
      <c r="AG2" s="46">
        <v>41275</v>
      </c>
      <c r="AH2" s="46">
        <v>41306</v>
      </c>
      <c r="AI2" s="46">
        <v>41334</v>
      </c>
      <c r="AJ2" s="46">
        <v>41365</v>
      </c>
      <c r="AK2" s="46">
        <v>41395</v>
      </c>
      <c r="AL2" s="46">
        <v>41426</v>
      </c>
      <c r="AM2" s="46">
        <v>41456</v>
      </c>
    </row>
    <row r="3" spans="1:256" s="124" customFormat="1">
      <c r="A3" s="103" t="s">
        <v>194</v>
      </c>
      <c r="C3" s="124">
        <v>0.2</v>
      </c>
      <c r="D3" s="124">
        <v>0.2</v>
      </c>
      <c r="E3" s="124">
        <v>0.13</v>
      </c>
      <c r="F3" s="124">
        <v>7.0000000000000007E-2</v>
      </c>
      <c r="G3" s="124">
        <v>0.05</v>
      </c>
      <c r="L3" s="124">
        <v>0.15</v>
      </c>
      <c r="M3" s="124">
        <v>0.2</v>
      </c>
      <c r="N3" s="124">
        <v>0.2</v>
      </c>
      <c r="O3" s="124">
        <v>0.2</v>
      </c>
      <c r="P3" s="124">
        <v>0.2</v>
      </c>
      <c r="Q3" s="124">
        <v>0.13</v>
      </c>
      <c r="R3" s="124">
        <v>7.0000000000000007E-2</v>
      </c>
      <c r="X3" s="124">
        <v>0.15</v>
      </c>
      <c r="Y3" s="124">
        <v>0.2</v>
      </c>
      <c r="Z3" s="124">
        <v>0.2</v>
      </c>
      <c r="AA3" s="124">
        <v>0.2</v>
      </c>
      <c r="AB3" s="124">
        <v>0.2</v>
      </c>
      <c r="AC3" s="124">
        <v>0.13</v>
      </c>
      <c r="AD3" s="124">
        <v>7.0000000000000007E-2</v>
      </c>
      <c r="AJ3" s="124">
        <v>0.15</v>
      </c>
      <c r="AK3" s="124">
        <v>0.2</v>
      </c>
      <c r="AL3" s="124">
        <v>0.2</v>
      </c>
    </row>
    <row r="4" spans="1:256" s="31" customFormat="1">
      <c r="A4" s="31" t="s">
        <v>56</v>
      </c>
      <c r="B4" s="22"/>
      <c r="C4" s="22">
        <f>C3*$D$1</f>
        <v>551653.20000000007</v>
      </c>
      <c r="D4" s="22">
        <f>D3*$D$1</f>
        <v>551653.20000000007</v>
      </c>
      <c r="E4" s="22">
        <f>E3*$D$1</f>
        <v>358574.58</v>
      </c>
      <c r="F4" s="22">
        <f>F3*$D$1</f>
        <v>193078.62000000002</v>
      </c>
      <c r="G4" s="22">
        <f>G3*$D$1</f>
        <v>137913.30000000002</v>
      </c>
      <c r="L4" s="22">
        <f>L3*$D$1</f>
        <v>413739.89999999997</v>
      </c>
      <c r="M4" s="22">
        <f>M3*$D$1</f>
        <v>551653.20000000007</v>
      </c>
      <c r="N4" s="22">
        <f>N3*$D$1</f>
        <v>551653.20000000007</v>
      </c>
      <c r="O4" s="22">
        <f>O3*$P$1</f>
        <v>551653.20000000007</v>
      </c>
      <c r="P4" s="22">
        <f>P3*$P$1</f>
        <v>551653.20000000007</v>
      </c>
      <c r="Q4" s="22">
        <f>Q3*$P$1</f>
        <v>358574.58</v>
      </c>
      <c r="R4" s="22">
        <f>R3*$P$1</f>
        <v>193078.62000000002</v>
      </c>
      <c r="X4" s="22">
        <f>X3*$P$1</f>
        <v>413739.89999999997</v>
      </c>
      <c r="Y4" s="22">
        <f>Y3*$P$1</f>
        <v>551653.20000000007</v>
      </c>
      <c r="Z4" s="22">
        <f>Z3*$P$1</f>
        <v>551653.20000000007</v>
      </c>
      <c r="AA4" s="22">
        <f>AA3*$AB$1</f>
        <v>551653.20000000007</v>
      </c>
      <c r="AB4" s="22">
        <f>AB3*$AB$1</f>
        <v>551653.20000000007</v>
      </c>
      <c r="AC4" s="22">
        <f>AC3*$AB$1</f>
        <v>358574.58</v>
      </c>
      <c r="AD4" s="22">
        <f>AD3*$AB$1</f>
        <v>193078.62000000002</v>
      </c>
    </row>
    <row r="5" spans="1:256">
      <c r="A5" s="1" t="s">
        <v>195</v>
      </c>
      <c r="B5" s="124"/>
      <c r="C5" s="150">
        <v>0.12</v>
      </c>
      <c r="D5" s="150">
        <v>0.13</v>
      </c>
      <c r="E5" s="150">
        <v>0.08</v>
      </c>
      <c r="F5" s="150">
        <v>0.04</v>
      </c>
      <c r="L5" s="150">
        <v>0.09</v>
      </c>
      <c r="M5" s="150">
        <v>0.13</v>
      </c>
      <c r="N5" s="150">
        <v>0.13</v>
      </c>
      <c r="O5" s="150">
        <v>0.12</v>
      </c>
      <c r="P5" s="150">
        <v>0.13</v>
      </c>
      <c r="Q5" s="150">
        <v>0.08</v>
      </c>
      <c r="R5" s="150">
        <v>0.04</v>
      </c>
      <c r="X5" s="150">
        <v>0.09</v>
      </c>
      <c r="Y5" s="150">
        <v>0.13</v>
      </c>
      <c r="Z5" s="150">
        <v>0.13</v>
      </c>
      <c r="AA5" s="150">
        <v>0.12</v>
      </c>
      <c r="AB5" s="150">
        <v>0.13</v>
      </c>
      <c r="AC5" s="150">
        <v>0.08</v>
      </c>
      <c r="AD5" s="150">
        <v>0.04</v>
      </c>
      <c r="AJ5" s="150">
        <v>0.09</v>
      </c>
      <c r="AK5" s="150">
        <v>0.13</v>
      </c>
      <c r="AL5" s="150">
        <v>0.13</v>
      </c>
    </row>
    <row r="6" spans="1:256">
      <c r="A6" s="1" t="s">
        <v>346</v>
      </c>
      <c r="B6" s="124"/>
      <c r="C6" s="22">
        <f>C5*$D$1</f>
        <v>330991.92</v>
      </c>
      <c r="D6" s="22">
        <f>D5*$D$1</f>
        <v>358574.58</v>
      </c>
      <c r="E6" s="22">
        <f>E5*$D$1</f>
        <v>220661.28</v>
      </c>
      <c r="F6" s="22">
        <f>F5*$D$1</f>
        <v>110330.64</v>
      </c>
      <c r="G6" s="22"/>
      <c r="L6" s="28">
        <f>L5*$P$1</f>
        <v>248243.94</v>
      </c>
      <c r="M6" s="28">
        <f t="shared" ref="M6:R6" si="0">M5*$P$1</f>
        <v>358574.58</v>
      </c>
      <c r="N6" s="28">
        <f t="shared" si="0"/>
        <v>358574.58</v>
      </c>
      <c r="O6" s="28">
        <f t="shared" si="0"/>
        <v>330991.92</v>
      </c>
      <c r="P6" s="28">
        <f t="shared" si="0"/>
        <v>358574.58</v>
      </c>
      <c r="Q6" s="28">
        <f t="shared" si="0"/>
        <v>220661.28</v>
      </c>
      <c r="R6" s="28">
        <f t="shared" si="0"/>
        <v>110330.64</v>
      </c>
      <c r="X6" s="28">
        <f>X5*$AB$1</f>
        <v>248243.94</v>
      </c>
      <c r="Y6" s="28">
        <f t="shared" ref="Y6:AD6" si="1">Y5*$AB$1</f>
        <v>358574.58</v>
      </c>
      <c r="Z6" s="28">
        <f t="shared" si="1"/>
        <v>358574.58</v>
      </c>
      <c r="AA6" s="28">
        <f t="shared" si="1"/>
        <v>330991.92</v>
      </c>
      <c r="AB6" s="28">
        <f t="shared" si="1"/>
        <v>358574.58</v>
      </c>
      <c r="AC6" s="28">
        <f t="shared" si="1"/>
        <v>220661.28</v>
      </c>
      <c r="AD6" s="28">
        <f t="shared" si="1"/>
        <v>110330.64</v>
      </c>
      <c r="AJ6" s="28">
        <f>AJ5*$AN$1</f>
        <v>248243.94</v>
      </c>
      <c r="AK6" s="28">
        <f>AK5*$AN$1</f>
        <v>358574.58</v>
      </c>
      <c r="AL6" s="28">
        <f>AL5*$AN$1</f>
        <v>358574.58</v>
      </c>
    </row>
    <row r="7" spans="1:256">
      <c r="A7" s="1" t="s">
        <v>345</v>
      </c>
      <c r="B7" s="124"/>
      <c r="C7" s="124">
        <f>C8/$D$1</f>
        <v>0.28350601428578681</v>
      </c>
      <c r="D7" s="124">
        <f>D8/$D$1</f>
        <v>0.27372559426828302</v>
      </c>
      <c r="E7" s="124">
        <f>E8/$D$1</f>
        <v>9.3272004948036197E-2</v>
      </c>
      <c r="F7" s="124">
        <f>F8/$D$1</f>
        <v>2.9223432402821194E-2</v>
      </c>
      <c r="G7" s="124">
        <f>G8/$D$1</f>
        <v>2.1795214819745449E-2</v>
      </c>
      <c r="L7" s="124">
        <f t="shared" ref="L7:R7" si="2">L8/$P$1</f>
        <v>9.132694236161415E-2</v>
      </c>
      <c r="M7" s="124">
        <f t="shared" si="2"/>
        <v>0.16277364112090711</v>
      </c>
      <c r="N7" s="124">
        <f t="shared" si="2"/>
        <v>0.129273246307644</v>
      </c>
      <c r="O7" s="124">
        <f t="shared" si="2"/>
        <v>0.12</v>
      </c>
      <c r="P7" s="124">
        <f t="shared" si="2"/>
        <v>0.13</v>
      </c>
      <c r="Q7" s="124">
        <f t="shared" si="2"/>
        <v>0.08</v>
      </c>
      <c r="R7" s="124">
        <f t="shared" si="2"/>
        <v>0.04</v>
      </c>
      <c r="X7" s="124"/>
      <c r="Y7" s="124"/>
      <c r="Z7" s="124"/>
      <c r="AA7" s="124"/>
      <c r="AB7" s="124"/>
      <c r="AC7" s="124"/>
      <c r="AD7" s="124"/>
      <c r="AJ7" s="124"/>
      <c r="AK7" s="124"/>
      <c r="AL7" s="124"/>
    </row>
    <row r="8" spans="1:256" s="137" customFormat="1">
      <c r="A8" s="137" t="s">
        <v>196</v>
      </c>
      <c r="B8" s="195"/>
      <c r="C8" s="132">
        <v>781985</v>
      </c>
      <c r="D8" s="132">
        <v>755008</v>
      </c>
      <c r="E8" s="132">
        <v>257269</v>
      </c>
      <c r="F8" s="132">
        <v>80606</v>
      </c>
      <c r="G8" s="132">
        <v>60117</v>
      </c>
      <c r="H8" s="132">
        <v>17517</v>
      </c>
      <c r="I8" s="132">
        <v>43122</v>
      </c>
      <c r="J8" s="132">
        <v>24972</v>
      </c>
      <c r="K8" s="439">
        <v>8808</v>
      </c>
      <c r="L8" s="439">
        <v>251904</v>
      </c>
      <c r="M8" s="439">
        <v>448973</v>
      </c>
      <c r="N8" s="439">
        <v>356570</v>
      </c>
      <c r="O8" s="195">
        <f t="shared" ref="O8:R8" si="3">O6</f>
        <v>330991.92</v>
      </c>
      <c r="P8" s="195">
        <f t="shared" si="3"/>
        <v>358574.58</v>
      </c>
      <c r="Q8" s="195">
        <f t="shared" si="3"/>
        <v>220661.28</v>
      </c>
      <c r="R8" s="195">
        <f t="shared" si="3"/>
        <v>110330.64</v>
      </c>
      <c r="S8" s="217"/>
      <c r="T8" s="217"/>
      <c r="U8" s="217"/>
      <c r="V8" s="217"/>
      <c r="W8" s="217"/>
      <c r="X8" s="195">
        <f>X6</f>
        <v>248243.94</v>
      </c>
      <c r="Y8" s="195">
        <f t="shared" ref="Y8:AD8" si="4">Y6</f>
        <v>358574.58</v>
      </c>
      <c r="Z8" s="195">
        <f t="shared" si="4"/>
        <v>358574.58</v>
      </c>
      <c r="AA8" s="195">
        <f t="shared" si="4"/>
        <v>330991.92</v>
      </c>
      <c r="AB8" s="195">
        <f t="shared" si="4"/>
        <v>358574.58</v>
      </c>
      <c r="AC8" s="195">
        <f t="shared" si="4"/>
        <v>220661.28</v>
      </c>
      <c r="AD8" s="195">
        <f t="shared" si="4"/>
        <v>110330.64</v>
      </c>
      <c r="AE8" s="217"/>
      <c r="AF8" s="217"/>
      <c r="AG8" s="217"/>
      <c r="AH8" s="217"/>
      <c r="AI8" s="217"/>
      <c r="AJ8" s="195">
        <f>AJ5*$AN$1</f>
        <v>248243.94</v>
      </c>
      <c r="AK8" s="195">
        <f>AK5*$AN$1</f>
        <v>358574.58</v>
      </c>
      <c r="AL8" s="195">
        <f>AL5*$AN$1</f>
        <v>358574.58</v>
      </c>
      <c r="AM8" s="230"/>
      <c r="AN8" s="230"/>
      <c r="AO8" s="230"/>
      <c r="AP8" s="230"/>
      <c r="AQ8" s="230"/>
      <c r="AR8" s="230"/>
      <c r="AS8" s="230"/>
      <c r="AT8" s="230"/>
      <c r="AU8" s="230"/>
      <c r="AV8" s="230"/>
      <c r="AW8" s="230"/>
      <c r="AX8" s="230"/>
      <c r="AY8" s="230"/>
      <c r="AZ8" s="230"/>
      <c r="BA8" s="230"/>
      <c r="BB8" s="230"/>
      <c r="BC8" s="230"/>
      <c r="BD8" s="230"/>
      <c r="BE8" s="230"/>
      <c r="BF8" s="230"/>
      <c r="BG8" s="230"/>
      <c r="BH8" s="230"/>
      <c r="BI8" s="230"/>
      <c r="BJ8" s="230"/>
      <c r="BK8" s="230"/>
      <c r="BL8" s="230"/>
      <c r="BM8" s="230"/>
      <c r="BN8" s="230"/>
      <c r="BO8" s="230"/>
      <c r="BP8" s="230"/>
      <c r="BQ8" s="230"/>
      <c r="BR8" s="230"/>
      <c r="BS8" s="230"/>
      <c r="BT8" s="230"/>
      <c r="BU8" s="230"/>
      <c r="BV8" s="230"/>
      <c r="BW8" s="230"/>
      <c r="BX8" s="230"/>
      <c r="BY8" s="230"/>
      <c r="BZ8" s="230"/>
      <c r="CA8" s="230"/>
      <c r="CB8" s="230"/>
      <c r="CC8" s="230"/>
      <c r="CD8" s="230"/>
      <c r="CE8" s="230"/>
      <c r="CF8" s="230"/>
      <c r="CG8" s="230"/>
      <c r="CH8" s="230"/>
      <c r="CI8" s="230"/>
      <c r="CJ8" s="230"/>
      <c r="CK8" s="230"/>
      <c r="CL8" s="230"/>
      <c r="CM8" s="230"/>
      <c r="CN8" s="230"/>
      <c r="CO8" s="230"/>
      <c r="CP8" s="230"/>
      <c r="CQ8" s="230"/>
      <c r="CR8" s="230"/>
      <c r="CS8" s="230"/>
      <c r="CT8" s="230"/>
      <c r="CU8" s="230"/>
      <c r="CV8" s="230"/>
      <c r="CW8" s="230"/>
      <c r="CX8" s="230"/>
      <c r="CY8" s="230"/>
      <c r="CZ8" s="230"/>
      <c r="DA8" s="230"/>
      <c r="DB8" s="230"/>
      <c r="DC8" s="230"/>
      <c r="DD8" s="230"/>
      <c r="DE8" s="230"/>
      <c r="DF8" s="230"/>
      <c r="DG8" s="230"/>
      <c r="DH8" s="230"/>
      <c r="DI8" s="230"/>
      <c r="DJ8" s="230"/>
      <c r="DK8" s="230"/>
      <c r="DL8" s="230"/>
      <c r="DM8" s="230"/>
      <c r="DN8" s="230"/>
      <c r="DO8" s="230"/>
      <c r="DP8" s="230"/>
      <c r="DQ8" s="230"/>
      <c r="DR8" s="230"/>
      <c r="DS8" s="230"/>
      <c r="DT8" s="230"/>
      <c r="DU8" s="230"/>
      <c r="DV8" s="230"/>
      <c r="DW8" s="230"/>
      <c r="DX8" s="230"/>
      <c r="DY8" s="230"/>
      <c r="DZ8" s="230"/>
      <c r="EA8" s="230"/>
      <c r="EB8" s="230"/>
      <c r="EC8" s="230"/>
      <c r="ED8" s="230"/>
      <c r="EE8" s="230"/>
      <c r="EF8" s="230"/>
      <c r="EG8" s="230"/>
      <c r="EH8" s="230"/>
      <c r="EI8" s="230"/>
      <c r="EJ8" s="230"/>
      <c r="EK8" s="230"/>
      <c r="EL8" s="230"/>
      <c r="EM8" s="230"/>
      <c r="EN8" s="230"/>
      <c r="EO8" s="230"/>
      <c r="EP8" s="230"/>
      <c r="EQ8" s="230"/>
      <c r="ER8" s="230"/>
      <c r="ES8" s="230"/>
      <c r="ET8" s="230"/>
      <c r="EU8" s="230"/>
      <c r="EV8" s="230"/>
      <c r="EW8" s="230"/>
      <c r="EX8" s="230"/>
      <c r="EY8" s="230"/>
      <c r="EZ8" s="230"/>
      <c r="FA8" s="230"/>
      <c r="FB8" s="230"/>
      <c r="FC8" s="230"/>
      <c r="FD8" s="230"/>
      <c r="FE8" s="230"/>
      <c r="FF8" s="230"/>
      <c r="FG8" s="230"/>
      <c r="FH8" s="230"/>
      <c r="FI8" s="230"/>
      <c r="FJ8" s="230"/>
      <c r="FK8" s="230"/>
      <c r="FL8" s="230"/>
      <c r="FM8" s="230"/>
      <c r="FN8" s="230"/>
      <c r="FO8" s="230"/>
      <c r="FP8" s="230"/>
      <c r="FQ8" s="230"/>
      <c r="FR8" s="230"/>
      <c r="FS8" s="230"/>
      <c r="FT8" s="230"/>
      <c r="FU8" s="230"/>
      <c r="FV8" s="230"/>
      <c r="FW8" s="230"/>
      <c r="FX8" s="230"/>
      <c r="FY8" s="230"/>
      <c r="FZ8" s="230"/>
      <c r="GA8" s="230"/>
      <c r="GB8" s="230"/>
      <c r="GC8" s="230"/>
      <c r="GD8" s="230"/>
      <c r="GE8" s="230"/>
      <c r="GF8" s="230"/>
      <c r="GG8" s="230"/>
      <c r="GH8" s="230"/>
      <c r="GI8" s="230"/>
      <c r="GJ8" s="230"/>
      <c r="GK8" s="230"/>
      <c r="GL8" s="230"/>
      <c r="GM8" s="230"/>
      <c r="GN8" s="230"/>
      <c r="GO8" s="230"/>
      <c r="GP8" s="230"/>
      <c r="GQ8" s="230"/>
      <c r="GR8" s="230"/>
      <c r="GS8" s="230"/>
      <c r="GT8" s="230"/>
      <c r="GU8" s="230"/>
      <c r="GV8" s="230"/>
      <c r="GW8" s="230"/>
      <c r="GX8" s="230"/>
      <c r="GY8" s="230"/>
      <c r="GZ8" s="230"/>
      <c r="HA8" s="230"/>
      <c r="HB8" s="230"/>
      <c r="HC8" s="230"/>
      <c r="HD8" s="230"/>
      <c r="HE8" s="230"/>
      <c r="HF8" s="230"/>
      <c r="HG8" s="230"/>
      <c r="HH8" s="230"/>
      <c r="HI8" s="230"/>
      <c r="HJ8" s="230"/>
      <c r="HK8" s="230"/>
      <c r="HL8" s="230"/>
      <c r="HM8" s="230"/>
      <c r="HN8" s="230"/>
      <c r="HO8" s="230"/>
      <c r="HP8" s="230"/>
      <c r="HQ8" s="230"/>
      <c r="HR8" s="230"/>
      <c r="HS8" s="230"/>
      <c r="HT8" s="230"/>
      <c r="HU8" s="230"/>
      <c r="HV8" s="230"/>
      <c r="HW8" s="230"/>
      <c r="HX8" s="230"/>
      <c r="HY8" s="230"/>
      <c r="HZ8" s="230"/>
      <c r="IA8" s="230"/>
      <c r="IB8" s="230"/>
      <c r="IC8" s="230"/>
      <c r="ID8" s="230"/>
      <c r="IE8" s="230"/>
      <c r="IF8" s="230"/>
      <c r="IG8" s="230"/>
      <c r="IH8" s="230"/>
      <c r="II8" s="230"/>
      <c r="IJ8" s="230"/>
      <c r="IK8" s="230"/>
      <c r="IL8" s="230"/>
      <c r="IM8" s="230"/>
      <c r="IN8" s="230"/>
      <c r="IO8" s="230"/>
      <c r="IP8" s="230"/>
      <c r="IQ8" s="230"/>
      <c r="IR8" s="230"/>
      <c r="IS8" s="230"/>
      <c r="IT8" s="230"/>
      <c r="IU8" s="230"/>
      <c r="IV8" s="230"/>
    </row>
    <row r="9" spans="1:256" s="222" customFormat="1">
      <c r="A9" s="224" t="s">
        <v>57</v>
      </c>
      <c r="B9" s="189"/>
      <c r="C9" s="146">
        <f>+'GAS '!C87</f>
        <v>4.6052512449986756</v>
      </c>
      <c r="D9" s="146">
        <f>+'GAS '!D87</f>
        <v>4.6783301250086966</v>
      </c>
      <c r="E9" s="146">
        <f>+'GAS '!E87</f>
        <v>3.584874301156578</v>
      </c>
      <c r="F9" s="146">
        <f>+'GAS '!F87</f>
        <v>3.8009670766349202</v>
      </c>
      <c r="G9" s="146">
        <f>+'GAS '!G87</f>
        <v>3.6767574986457463</v>
      </c>
      <c r="H9" s="146">
        <f>+'GAS '!H87</f>
        <v>4.1922111428553359</v>
      </c>
      <c r="I9" s="146">
        <f>+'GAS '!I87</f>
        <v>4.2765664236022607</v>
      </c>
      <c r="J9" s="146">
        <f>+'GAS '!J87</f>
        <v>4.2167857034759031</v>
      </c>
      <c r="K9" s="146">
        <f>+'GAS '!K87</f>
        <v>3.9135884790781397</v>
      </c>
      <c r="L9" s="146">
        <f>+'GAS '!L87</f>
        <v>4.1186777526740217</v>
      </c>
      <c r="M9" s="146">
        <f>+'GAS '!M87</f>
        <v>4.2439009525915674</v>
      </c>
      <c r="N9" s="146">
        <f>+'GAS '!N87</f>
        <v>4.1993393014027349</v>
      </c>
      <c r="O9" s="189">
        <f>+'FT GAS'!X109</f>
        <v>4.3570000000000002</v>
      </c>
      <c r="P9" s="189">
        <f>+'FT GAS'!Y109</f>
        <v>4.37</v>
      </c>
      <c r="Q9" s="189">
        <f>+'FT GAS'!Z109</f>
        <v>3.9940000000000002</v>
      </c>
      <c r="R9" s="189">
        <f>+'FT GAS'!AA109</f>
        <v>4.0149999999999997</v>
      </c>
      <c r="X9" s="189">
        <f>+'FT GAS'!AG109</f>
        <v>4.4130000000000003</v>
      </c>
      <c r="Y9" s="189">
        <f>+'FT GAS'!AH109</f>
        <v>4.4390000000000001</v>
      </c>
      <c r="Z9" s="189">
        <f>+'FT GAS'!AI109</f>
        <v>4.4710000000000001</v>
      </c>
      <c r="AA9" s="189">
        <f>+'FT GAS'!AO109</f>
        <v>4.51</v>
      </c>
      <c r="AB9" s="189">
        <f>+'FT GAS'!AP109</f>
        <v>4.5339999999999998</v>
      </c>
      <c r="AC9" s="189">
        <f>+'FT GAS'!AQ109</f>
        <v>4.5380000000000003</v>
      </c>
      <c r="AD9" s="189">
        <f>+'FT GAS'!AR109</f>
        <v>4.57</v>
      </c>
      <c r="AJ9" s="189">
        <f>+'FT GAS'!AX109</f>
        <v>4.8259999999999996</v>
      </c>
      <c r="AK9" s="189">
        <f>+'FT GAS'!AY109</f>
        <v>4.8380000000000001</v>
      </c>
      <c r="AL9" s="189">
        <f>+'FT GAS'!AZ109</f>
        <v>4.8730000000000002</v>
      </c>
    </row>
    <row r="10" spans="1:256">
      <c r="A10" s="1" t="s">
        <v>58</v>
      </c>
      <c r="B10" s="25"/>
      <c r="C10" s="25">
        <f t="shared" ref="C10:K10" si="5">+C8*C9</f>
        <v>3601237.3948202892</v>
      </c>
      <c r="D10" s="25">
        <f t="shared" si="5"/>
        <v>3532176.671022566</v>
      </c>
      <c r="E10" s="25">
        <f t="shared" si="5"/>
        <v>922277.02658425167</v>
      </c>
      <c r="F10" s="25">
        <f t="shared" si="5"/>
        <v>306380.75217923435</v>
      </c>
      <c r="G10" s="25">
        <f t="shared" si="5"/>
        <v>221035.63054608632</v>
      </c>
      <c r="H10" s="25">
        <f t="shared" si="5"/>
        <v>73434.962589396921</v>
      </c>
      <c r="I10" s="25">
        <f t="shared" si="5"/>
        <v>184414.09731857668</v>
      </c>
      <c r="J10" s="25">
        <f t="shared" si="5"/>
        <v>105301.57258720025</v>
      </c>
      <c r="K10" s="25">
        <f t="shared" si="5"/>
        <v>34470.887323720257</v>
      </c>
      <c r="L10" s="25">
        <f t="shared" ref="L10:R10" si="6">+L8*L9</f>
        <v>1037511.4006095967</v>
      </c>
      <c r="M10" s="25">
        <f t="shared" si="6"/>
        <v>1905396.9423878938</v>
      </c>
      <c r="N10" s="25">
        <f t="shared" si="6"/>
        <v>1497358.4147011731</v>
      </c>
      <c r="O10" s="25">
        <f t="shared" si="6"/>
        <v>1442131.79544</v>
      </c>
      <c r="P10" s="25">
        <f t="shared" si="6"/>
        <v>1566970.9146</v>
      </c>
      <c r="Q10" s="25">
        <f t="shared" si="6"/>
        <v>881321.15231999999</v>
      </c>
      <c r="R10" s="25">
        <f t="shared" si="6"/>
        <v>442977.51959999994</v>
      </c>
      <c r="X10" s="25">
        <f t="shared" ref="X10:AD10" si="7">+X8*X9</f>
        <v>1095500.50722</v>
      </c>
      <c r="Y10" s="25">
        <f t="shared" si="7"/>
        <v>1591712.5606200001</v>
      </c>
      <c r="Z10" s="25">
        <f t="shared" si="7"/>
        <v>1603186.9471800001</v>
      </c>
      <c r="AA10" s="25">
        <f t="shared" si="7"/>
        <v>1492773.5591999998</v>
      </c>
      <c r="AB10" s="25">
        <f t="shared" si="7"/>
        <v>1625777.1457199999</v>
      </c>
      <c r="AC10" s="25">
        <f t="shared" si="7"/>
        <v>1001360.88864</v>
      </c>
      <c r="AD10" s="25">
        <f t="shared" si="7"/>
        <v>504211.02480000001</v>
      </c>
      <c r="AJ10" s="25">
        <f>+AJ8*AJ9</f>
        <v>1198025.2544399998</v>
      </c>
      <c r="AK10" s="25">
        <f>+AK8*AK9</f>
        <v>1734783.81804</v>
      </c>
      <c r="AL10" s="25">
        <f>+AL8*AL9</f>
        <v>1747333.9283400001</v>
      </c>
    </row>
    <row r="11" spans="1:256" s="138" customFormat="1">
      <c r="A11" s="138" t="s">
        <v>197</v>
      </c>
      <c r="H11" s="150">
        <v>-0.21</v>
      </c>
      <c r="I11" s="150">
        <v>-0.23</v>
      </c>
      <c r="J11" s="150">
        <v>-0.19</v>
      </c>
      <c r="K11" s="150">
        <v>-0.1</v>
      </c>
      <c r="L11" s="150">
        <v>-0.1</v>
      </c>
      <c r="T11" s="150">
        <v>-0.21</v>
      </c>
      <c r="U11" s="150">
        <v>-0.23</v>
      </c>
      <c r="V11" s="150">
        <v>-0.19</v>
      </c>
      <c r="W11" s="150">
        <v>-0.1</v>
      </c>
      <c r="AF11" s="150">
        <v>-0.21</v>
      </c>
      <c r="AG11" s="150">
        <v>-0.23</v>
      </c>
      <c r="AH11" s="150">
        <v>-0.19</v>
      </c>
      <c r="AI11" s="150">
        <v>-0.1</v>
      </c>
    </row>
    <row r="12" spans="1:256" s="138" customFormat="1">
      <c r="A12" s="138" t="s">
        <v>347</v>
      </c>
      <c r="H12" s="108">
        <f>H11*$D$1</f>
        <v>-579235.86</v>
      </c>
      <c r="I12" s="108">
        <f>I11*$D$1</f>
        <v>-634401.18000000005</v>
      </c>
      <c r="J12" s="108">
        <f>J11*$D$1</f>
        <v>-524070.54</v>
      </c>
      <c r="K12" s="108">
        <f>K11*$D$1</f>
        <v>-275826.60000000003</v>
      </c>
      <c r="T12" s="107">
        <f>T11*$P$1</f>
        <v>-579235.86</v>
      </c>
      <c r="U12" s="107">
        <f>U11*$P$1</f>
        <v>-634401.18000000005</v>
      </c>
      <c r="V12" s="107">
        <f>V11*$P$1</f>
        <v>-524070.54</v>
      </c>
      <c r="W12" s="107">
        <f>W11*$P$1</f>
        <v>-275826.60000000003</v>
      </c>
      <c r="AF12" s="107">
        <f>AF11*$AB$1</f>
        <v>-579235.86</v>
      </c>
      <c r="AG12" s="107">
        <f>AG11*$AB$1</f>
        <v>-634401.18000000005</v>
      </c>
      <c r="AH12" s="107">
        <f>AH11*$AB$1</f>
        <v>-524070.54</v>
      </c>
      <c r="AI12" s="107">
        <f>AI11*$AB$1</f>
        <v>-275826.60000000003</v>
      </c>
    </row>
    <row r="13" spans="1:256" s="292" customFormat="1">
      <c r="A13" s="139" t="s">
        <v>198</v>
      </c>
      <c r="D13" s="196"/>
      <c r="E13" s="196"/>
      <c r="F13" s="421">
        <v>-54102</v>
      </c>
      <c r="G13" s="421">
        <v>-186436</v>
      </c>
      <c r="H13" s="421">
        <v>-564835</v>
      </c>
      <c r="I13" s="421">
        <v>-470134</v>
      </c>
      <c r="J13" s="421">
        <v>-348286</v>
      </c>
      <c r="K13" s="438">
        <v>-553568</v>
      </c>
      <c r="L13" s="438">
        <v>-29579</v>
      </c>
      <c r="T13" s="196">
        <f>T12</f>
        <v>-579235.86</v>
      </c>
      <c r="U13" s="196">
        <f>U12</f>
        <v>-634401.18000000005</v>
      </c>
      <c r="V13" s="196">
        <f>V12</f>
        <v>-524070.54</v>
      </c>
      <c r="W13" s="196">
        <f>W12</f>
        <v>-275826.60000000003</v>
      </c>
      <c r="AF13" s="196">
        <f>AF12</f>
        <v>-579235.86</v>
      </c>
      <c r="AG13" s="196">
        <f>AG12</f>
        <v>-634401.18000000005</v>
      </c>
      <c r="AH13" s="196">
        <f>AH12</f>
        <v>-524070.54</v>
      </c>
      <c r="AI13" s="196">
        <f>AI12</f>
        <v>-275826.60000000003</v>
      </c>
    </row>
    <row r="14" spans="1:256">
      <c r="A14" s="1" t="s">
        <v>59</v>
      </c>
      <c r="E14" s="20"/>
      <c r="F14" s="20">
        <f t="shared" ref="F14:L14" si="8">+E23</f>
        <v>4.5397101988303579</v>
      </c>
      <c r="G14" s="20">
        <f t="shared" si="8"/>
        <v>4.5168316644996889</v>
      </c>
      <c r="H14" s="20">
        <f t="shared" si="8"/>
        <v>4.4964383168815658</v>
      </c>
      <c r="I14" s="20">
        <f t="shared" si="8"/>
        <v>4.4936758324418609</v>
      </c>
      <c r="J14" s="20">
        <f t="shared" si="8"/>
        <v>4.4874431052848625</v>
      </c>
      <c r="K14" s="20">
        <f t="shared" si="8"/>
        <v>4.4817093714514895</v>
      </c>
      <c r="L14" s="20">
        <f t="shared" si="8"/>
        <v>4.4738169616209706</v>
      </c>
      <c r="T14" s="20">
        <f>+S23</f>
        <v>4.2788657442662146</v>
      </c>
      <c r="U14" s="20">
        <f>+T23</f>
        <v>4.2788657442662146</v>
      </c>
      <c r="V14" s="20">
        <f>+U23</f>
        <v>4.2788657442662155</v>
      </c>
      <c r="W14" s="20">
        <f>+V23</f>
        <v>4.2788657442662155</v>
      </c>
      <c r="AF14" s="20">
        <f>+AE23</f>
        <v>4.4358988299918236</v>
      </c>
      <c r="AG14" s="20">
        <f>+AF23</f>
        <v>4.4358988299918236</v>
      </c>
      <c r="AH14" s="20">
        <f>+AG23</f>
        <v>4.4358988299918236</v>
      </c>
      <c r="AI14" s="20">
        <f>+AH23</f>
        <v>4.4358988299918236</v>
      </c>
    </row>
    <row r="15" spans="1:256">
      <c r="A15" s="1" t="s">
        <v>60</v>
      </c>
      <c r="E15" s="30"/>
      <c r="F15" s="30">
        <f t="shared" ref="F15:L15" si="9">F13*F14</f>
        <v>-245607.40117712002</v>
      </c>
      <c r="G15" s="30">
        <f t="shared" si="9"/>
        <v>-842100.02820266399</v>
      </c>
      <c r="H15" s="30">
        <f t="shared" si="9"/>
        <v>-2539745.7367157992</v>
      </c>
      <c r="I15" s="30">
        <f t="shared" si="9"/>
        <v>-2112629.7938092216</v>
      </c>
      <c r="J15" s="30">
        <f t="shared" si="9"/>
        <v>-1562913.6093672437</v>
      </c>
      <c r="K15" s="30">
        <f t="shared" si="9"/>
        <v>-2480930.8933356581</v>
      </c>
      <c r="L15" s="30">
        <f t="shared" si="9"/>
        <v>-132331.0319077867</v>
      </c>
      <c r="T15" s="30">
        <f>T13*T14</f>
        <v>-2478472.4792045807</v>
      </c>
      <c r="U15" s="30">
        <f>U13*U14</f>
        <v>-2714517.477224065</v>
      </c>
      <c r="V15" s="30">
        <f>V13*V14</f>
        <v>-2242427.4811850972</v>
      </c>
      <c r="W15" s="30">
        <f>W13*W14</f>
        <v>-1180224.9900974198</v>
      </c>
      <c r="AF15" s="30">
        <f>AF13*AF14</f>
        <v>-2569431.6736633079</v>
      </c>
      <c r="AG15" s="30">
        <f>AG13*AG14</f>
        <v>-2814139.4521074323</v>
      </c>
      <c r="AH15" s="30">
        <f>AH13*AH14</f>
        <v>-2324723.8952191831</v>
      </c>
      <c r="AI15" s="30">
        <f>AI13*AI14</f>
        <v>-1223538.8922206229</v>
      </c>
    </row>
    <row r="16" spans="1:256">
      <c r="A16" s="1" t="s">
        <v>164</v>
      </c>
      <c r="G16" s="30"/>
      <c r="H16" s="30"/>
      <c r="I16" s="30"/>
      <c r="J16" s="30"/>
      <c r="K16" s="30"/>
    </row>
    <row r="17" spans="1:38">
      <c r="A17" s="1" t="s">
        <v>165</v>
      </c>
      <c r="G17" s="30"/>
      <c r="H17" s="30"/>
      <c r="I17" s="30"/>
      <c r="J17" s="30"/>
      <c r="K17" s="30"/>
    </row>
    <row r="18" spans="1:38">
      <c r="A18" s="1" t="s">
        <v>163</v>
      </c>
      <c r="G18" s="30"/>
      <c r="H18" s="30"/>
      <c r="I18" s="30"/>
      <c r="J18" s="30"/>
      <c r="K18" s="30"/>
    </row>
    <row r="19" spans="1:38">
      <c r="A19" s="1" t="s">
        <v>350</v>
      </c>
      <c r="B19" s="124">
        <f>B21/D1</f>
        <v>0.28350601428578681</v>
      </c>
      <c r="C19" s="124">
        <f t="shared" ref="C19:N19" si="10">C21/$D$1</f>
        <v>0.56701202857157362</v>
      </c>
      <c r="D19" s="124">
        <f t="shared" si="10"/>
        <v>0.84073762283985665</v>
      </c>
      <c r="E19" s="124">
        <f t="shared" si="10"/>
        <v>0.93400962778789287</v>
      </c>
      <c r="F19" s="134">
        <f t="shared" si="10"/>
        <v>0.94361856325677074</v>
      </c>
      <c r="G19" s="124">
        <f t="shared" si="10"/>
        <v>0.89782203746846756</v>
      </c>
      <c r="H19" s="124">
        <f t="shared" si="10"/>
        <v>0.69939374955134859</v>
      </c>
      <c r="I19" s="124">
        <f t="shared" si="10"/>
        <v>0.5445819946299596</v>
      </c>
      <c r="J19" s="124">
        <f t="shared" si="10"/>
        <v>0.4273655985318312</v>
      </c>
      <c r="K19" s="134">
        <f t="shared" si="10"/>
        <v>0.22986470485442667</v>
      </c>
      <c r="L19" s="124">
        <f t="shared" si="10"/>
        <v>0.31046788090778771</v>
      </c>
      <c r="M19" s="124">
        <f t="shared" si="10"/>
        <v>0.47324152202869485</v>
      </c>
      <c r="N19" s="124">
        <f t="shared" si="10"/>
        <v>0.60251476833633888</v>
      </c>
      <c r="O19" s="124">
        <f>O21/$P$1</f>
        <v>0.72251476833633876</v>
      </c>
      <c r="P19" s="124">
        <f t="shared" ref="P19:Z19" si="11">P21/$P$1</f>
        <v>0.85251476833633888</v>
      </c>
      <c r="Q19" s="124">
        <f t="shared" si="11"/>
        <v>0.93251476833633873</v>
      </c>
      <c r="R19" s="134">
        <f t="shared" si="11"/>
        <v>0.97251476833633876</v>
      </c>
      <c r="S19" s="124">
        <f t="shared" si="11"/>
        <v>0.97251476833633876</v>
      </c>
      <c r="T19" s="124">
        <f t="shared" si="11"/>
        <v>0.76251476833633891</v>
      </c>
      <c r="U19" s="124">
        <f t="shared" si="11"/>
        <v>0.53251476833633882</v>
      </c>
      <c r="V19" s="124">
        <f t="shared" si="11"/>
        <v>0.34251476833633882</v>
      </c>
      <c r="W19" s="134">
        <f t="shared" si="11"/>
        <v>0.24251476833633875</v>
      </c>
      <c r="X19" s="124">
        <f t="shared" si="11"/>
        <v>0.33251476833633875</v>
      </c>
      <c r="Y19" s="124">
        <f t="shared" si="11"/>
        <v>0.46251476833633876</v>
      </c>
      <c r="Z19" s="124">
        <f t="shared" si="11"/>
        <v>0.59251476833633876</v>
      </c>
      <c r="AA19" s="124">
        <f>AA21/$AB$1</f>
        <v>0.71251476833633876</v>
      </c>
      <c r="AB19" s="124">
        <f t="shared" ref="AB19:AL19" si="12">AB21/$AB$1</f>
        <v>0.84251476833633876</v>
      </c>
      <c r="AC19" s="124">
        <f t="shared" si="12"/>
        <v>0.92251476833633872</v>
      </c>
      <c r="AD19" s="134">
        <f t="shared" si="12"/>
        <v>0.96251476833633876</v>
      </c>
      <c r="AE19" s="124">
        <f t="shared" si="12"/>
        <v>0.96251476833633876</v>
      </c>
      <c r="AF19" s="124">
        <f t="shared" si="12"/>
        <v>0.75251476833633879</v>
      </c>
      <c r="AG19" s="124">
        <f t="shared" si="12"/>
        <v>0.5225147683363387</v>
      </c>
      <c r="AH19" s="124">
        <f t="shared" si="12"/>
        <v>0.33251476833633875</v>
      </c>
      <c r="AI19" s="134">
        <f t="shared" si="12"/>
        <v>0.23251476833633869</v>
      </c>
      <c r="AJ19" s="124">
        <f t="shared" si="12"/>
        <v>0.32251476833633869</v>
      </c>
      <c r="AK19" s="124">
        <f t="shared" si="12"/>
        <v>0.45251476833633869</v>
      </c>
      <c r="AL19" s="124">
        <f t="shared" si="12"/>
        <v>0.58251476833633875</v>
      </c>
    </row>
    <row r="20" spans="1:38" s="103" customFormat="1">
      <c r="A20" s="103" t="s">
        <v>277</v>
      </c>
      <c r="B20" s="124">
        <v>0.6</v>
      </c>
      <c r="C20" s="124"/>
      <c r="D20" s="124">
        <v>0.85</v>
      </c>
      <c r="E20" s="124"/>
      <c r="F20" s="140"/>
      <c r="G20" s="124"/>
      <c r="H20" s="124"/>
      <c r="I20" s="124">
        <v>0.65</v>
      </c>
      <c r="J20" s="124"/>
      <c r="K20" s="128">
        <v>0.25</v>
      </c>
      <c r="L20" s="124"/>
      <c r="M20" s="124"/>
      <c r="N20" s="124">
        <v>0.6</v>
      </c>
      <c r="O20" s="124"/>
      <c r="P20" s="124">
        <v>0.85</v>
      </c>
      <c r="Q20" s="124"/>
      <c r="R20" s="124"/>
      <c r="S20" s="124"/>
      <c r="T20" s="124"/>
      <c r="U20" s="124">
        <v>0.65</v>
      </c>
      <c r="V20" s="124"/>
      <c r="W20" s="124">
        <v>0.25</v>
      </c>
      <c r="Z20" s="124">
        <v>0.6</v>
      </c>
      <c r="AB20" s="124">
        <v>0.85</v>
      </c>
      <c r="AG20" s="124">
        <v>0.65</v>
      </c>
      <c r="AI20" s="124">
        <v>0.25</v>
      </c>
      <c r="AL20" s="124">
        <v>0.6</v>
      </c>
    </row>
    <row r="21" spans="1:38" s="394" customFormat="1">
      <c r="A21" s="394" t="s">
        <v>348</v>
      </c>
      <c r="B21" s="132">
        <v>781985</v>
      </c>
      <c r="C21" s="132">
        <f t="shared" ref="C21:AL21" si="13">+B21+C8+C13</f>
        <v>1563970</v>
      </c>
      <c r="D21" s="132">
        <f t="shared" si="13"/>
        <v>2318978</v>
      </c>
      <c r="E21" s="132">
        <f t="shared" si="13"/>
        <v>2576247</v>
      </c>
      <c r="F21" s="132">
        <f t="shared" si="13"/>
        <v>2602751</v>
      </c>
      <c r="G21" s="132">
        <f t="shared" si="13"/>
        <v>2476432</v>
      </c>
      <c r="H21" s="132">
        <f t="shared" si="13"/>
        <v>1929114</v>
      </c>
      <c r="I21" s="132">
        <f t="shared" si="13"/>
        <v>1502102</v>
      </c>
      <c r="J21" s="132">
        <f t="shared" si="13"/>
        <v>1178788</v>
      </c>
      <c r="K21" s="439">
        <f t="shared" si="13"/>
        <v>634028</v>
      </c>
      <c r="L21" s="439">
        <f t="shared" si="13"/>
        <v>856353</v>
      </c>
      <c r="M21" s="439">
        <f t="shared" si="13"/>
        <v>1305326</v>
      </c>
      <c r="N21" s="439">
        <f t="shared" si="13"/>
        <v>1661896</v>
      </c>
      <c r="O21" s="195">
        <f t="shared" si="13"/>
        <v>1992887.92</v>
      </c>
      <c r="P21" s="195">
        <f t="shared" si="13"/>
        <v>2351462.5</v>
      </c>
      <c r="Q21" s="195">
        <f t="shared" si="13"/>
        <v>2572123.7799999998</v>
      </c>
      <c r="R21" s="195">
        <f t="shared" si="13"/>
        <v>2682454.42</v>
      </c>
      <c r="S21" s="195">
        <f t="shared" si="13"/>
        <v>2682454.42</v>
      </c>
      <c r="T21" s="195">
        <f t="shared" si="13"/>
        <v>2103218.56</v>
      </c>
      <c r="U21" s="195">
        <f t="shared" si="13"/>
        <v>1468817.38</v>
      </c>
      <c r="V21" s="195">
        <f t="shared" si="13"/>
        <v>944746.83999999985</v>
      </c>
      <c r="W21" s="195">
        <f t="shared" si="13"/>
        <v>668920.23999999976</v>
      </c>
      <c r="X21" s="195">
        <f t="shared" si="13"/>
        <v>917164.1799999997</v>
      </c>
      <c r="Y21" s="195">
        <f t="shared" si="13"/>
        <v>1275738.7599999998</v>
      </c>
      <c r="Z21" s="195">
        <f t="shared" si="13"/>
        <v>1634313.3399999999</v>
      </c>
      <c r="AA21" s="195">
        <f t="shared" si="13"/>
        <v>1965305.2599999998</v>
      </c>
      <c r="AB21" s="195">
        <f t="shared" si="13"/>
        <v>2323879.84</v>
      </c>
      <c r="AC21" s="195">
        <f t="shared" si="13"/>
        <v>2544541.1199999996</v>
      </c>
      <c r="AD21" s="195">
        <f t="shared" si="13"/>
        <v>2654871.7599999998</v>
      </c>
      <c r="AE21" s="195">
        <f t="shared" si="13"/>
        <v>2654871.7599999998</v>
      </c>
      <c r="AF21" s="195">
        <f t="shared" si="13"/>
        <v>2075635.9</v>
      </c>
      <c r="AG21" s="195">
        <f t="shared" si="13"/>
        <v>1441234.7199999997</v>
      </c>
      <c r="AH21" s="195">
        <f t="shared" si="13"/>
        <v>917164.1799999997</v>
      </c>
      <c r="AI21" s="195">
        <f t="shared" si="13"/>
        <v>641337.57999999961</v>
      </c>
      <c r="AJ21" s="195">
        <f t="shared" si="13"/>
        <v>889581.51999999955</v>
      </c>
      <c r="AK21" s="195">
        <f t="shared" si="13"/>
        <v>1248156.0999999996</v>
      </c>
      <c r="AL21" s="195">
        <f t="shared" si="13"/>
        <v>1606730.6799999997</v>
      </c>
    </row>
    <row r="22" spans="1:38" s="394" customFormat="1">
      <c r="A22" s="394" t="s">
        <v>349</v>
      </c>
      <c r="B22" s="397">
        <v>3639723.6881790073</v>
      </c>
      <c r="C22" s="397">
        <f t="shared" ref="C22:AL22" si="14">+B22+C10+C15</f>
        <v>7240961.0829992965</v>
      </c>
      <c r="D22" s="397">
        <f t="shared" si="14"/>
        <v>10773137.754021863</v>
      </c>
      <c r="E22" s="397">
        <f t="shared" si="14"/>
        <v>11695414.780606113</v>
      </c>
      <c r="F22" s="397">
        <f t="shared" si="14"/>
        <v>11756188.131608229</v>
      </c>
      <c r="G22" s="397">
        <f t="shared" si="14"/>
        <v>11135123.733951651</v>
      </c>
      <c r="H22" s="397">
        <f t="shared" si="14"/>
        <v>8668812.9598252475</v>
      </c>
      <c r="I22" s="397">
        <f t="shared" si="14"/>
        <v>6740597.2633346021</v>
      </c>
      <c r="J22" s="397">
        <f t="shared" si="14"/>
        <v>5282985.2265545586</v>
      </c>
      <c r="K22" s="440">
        <f t="shared" si="14"/>
        <v>2836525.2205426209</v>
      </c>
      <c r="L22" s="440">
        <f t="shared" si="14"/>
        <v>3741705.5892444309</v>
      </c>
      <c r="M22" s="440">
        <f t="shared" si="14"/>
        <v>5647102.5316323247</v>
      </c>
      <c r="N22" s="440">
        <f t="shared" si="14"/>
        <v>7144460.9463334978</v>
      </c>
      <c r="O22" s="361">
        <f t="shared" si="14"/>
        <v>8586592.7417734973</v>
      </c>
      <c r="P22" s="361">
        <f t="shared" si="14"/>
        <v>10153563.656373497</v>
      </c>
      <c r="Q22" s="361">
        <f t="shared" si="14"/>
        <v>11034884.808693497</v>
      </c>
      <c r="R22" s="361">
        <f t="shared" si="14"/>
        <v>11477862.328293497</v>
      </c>
      <c r="S22" s="361">
        <f t="shared" si="14"/>
        <v>11477862.328293497</v>
      </c>
      <c r="T22" s="361">
        <f t="shared" si="14"/>
        <v>8999389.8490889166</v>
      </c>
      <c r="U22" s="361">
        <f t="shared" si="14"/>
        <v>6284872.3718648516</v>
      </c>
      <c r="V22" s="361">
        <f t="shared" si="14"/>
        <v>4042444.8906797543</v>
      </c>
      <c r="W22" s="361">
        <f t="shared" si="14"/>
        <v>2862219.9005823345</v>
      </c>
      <c r="X22" s="361">
        <f t="shared" si="14"/>
        <v>3957720.4078023345</v>
      </c>
      <c r="Y22" s="361">
        <f t="shared" si="14"/>
        <v>5549432.9684223346</v>
      </c>
      <c r="Z22" s="361">
        <f t="shared" si="14"/>
        <v>7152619.9156023348</v>
      </c>
      <c r="AA22" s="361">
        <f t="shared" si="14"/>
        <v>8645393.4748023339</v>
      </c>
      <c r="AB22" s="361">
        <f t="shared" si="14"/>
        <v>10271170.620522333</v>
      </c>
      <c r="AC22" s="361">
        <f t="shared" si="14"/>
        <v>11272531.509162333</v>
      </c>
      <c r="AD22" s="361">
        <f t="shared" si="14"/>
        <v>11776742.533962334</v>
      </c>
      <c r="AE22" s="361">
        <f t="shared" si="14"/>
        <v>11776742.533962334</v>
      </c>
      <c r="AF22" s="361">
        <f t="shared" si="14"/>
        <v>9207310.8602990247</v>
      </c>
      <c r="AG22" s="361">
        <f t="shared" si="14"/>
        <v>6393171.4081915924</v>
      </c>
      <c r="AH22" s="361">
        <f t="shared" si="14"/>
        <v>4068447.5129724094</v>
      </c>
      <c r="AI22" s="361">
        <f t="shared" si="14"/>
        <v>2844908.6207517865</v>
      </c>
      <c r="AJ22" s="361">
        <f t="shared" si="14"/>
        <v>4042933.8751917863</v>
      </c>
      <c r="AK22" s="361">
        <f t="shared" si="14"/>
        <v>5777717.6932317866</v>
      </c>
      <c r="AL22" s="361">
        <f t="shared" si="14"/>
        <v>7525051.6215717867</v>
      </c>
    </row>
    <row r="23" spans="1:38">
      <c r="A23" s="1" t="s">
        <v>61</v>
      </c>
      <c r="B23" s="20">
        <f>B22/B21</f>
        <v>4.6544673979411462</v>
      </c>
      <c r="C23" s="20">
        <f t="shared" ref="C23:O23" si="15">+C22/C21</f>
        <v>4.6298593214699109</v>
      </c>
      <c r="D23" s="20">
        <f t="shared" si="15"/>
        <v>4.6456403441610323</v>
      </c>
      <c r="E23" s="20">
        <f t="shared" si="15"/>
        <v>4.5397101988303579</v>
      </c>
      <c r="F23" s="135">
        <f t="shared" si="15"/>
        <v>4.5168316644996889</v>
      </c>
      <c r="G23" s="20">
        <f t="shared" si="15"/>
        <v>4.4964383168815658</v>
      </c>
      <c r="H23" s="20">
        <f t="shared" si="15"/>
        <v>4.4936758324418609</v>
      </c>
      <c r="I23" s="20">
        <f t="shared" si="15"/>
        <v>4.4874431052848625</v>
      </c>
      <c r="J23" s="20">
        <f t="shared" si="15"/>
        <v>4.4817093714514895</v>
      </c>
      <c r="K23" s="20">
        <f t="shared" si="15"/>
        <v>4.4738169616209706</v>
      </c>
      <c r="L23" s="21">
        <f t="shared" si="15"/>
        <v>4.3693495430557618</v>
      </c>
      <c r="M23" s="20">
        <f t="shared" si="15"/>
        <v>4.3262009119808571</v>
      </c>
      <c r="N23" s="20">
        <f t="shared" si="15"/>
        <v>4.2989819738019088</v>
      </c>
      <c r="O23" s="20">
        <f t="shared" si="15"/>
        <v>4.3086179887996403</v>
      </c>
      <c r="P23" s="20">
        <f t="shared" ref="P23:AA23" si="16">+P22/P21</f>
        <v>4.3179781333419083</v>
      </c>
      <c r="Q23" s="20">
        <f t="shared" si="16"/>
        <v>4.2901842028354862</v>
      </c>
      <c r="R23" s="135">
        <f t="shared" si="16"/>
        <v>4.2788657442662146</v>
      </c>
      <c r="S23" s="20">
        <f t="shared" si="16"/>
        <v>4.2788657442662146</v>
      </c>
      <c r="T23" s="20">
        <f t="shared" si="16"/>
        <v>4.2788657442662146</v>
      </c>
      <c r="U23" s="20">
        <f t="shared" si="16"/>
        <v>4.2788657442662155</v>
      </c>
      <c r="V23" s="20">
        <f t="shared" si="16"/>
        <v>4.2788657442662155</v>
      </c>
      <c r="W23" s="20">
        <f t="shared" si="16"/>
        <v>4.2788657442662155</v>
      </c>
      <c r="X23" s="20">
        <f t="shared" si="16"/>
        <v>4.3151711483132011</v>
      </c>
      <c r="Y23" s="20">
        <f t="shared" si="16"/>
        <v>4.3499759844424073</v>
      </c>
      <c r="Z23" s="20">
        <f t="shared" si="16"/>
        <v>4.3765291150363712</v>
      </c>
      <c r="AA23" s="20">
        <f t="shared" si="16"/>
        <v>4.3990079560476705</v>
      </c>
      <c r="AB23" s="20">
        <f t="shared" ref="AB23:AL23" si="17">+AB22/AB21</f>
        <v>4.4198372238223529</v>
      </c>
      <c r="AC23" s="20">
        <f t="shared" si="17"/>
        <v>4.4300842381994343</v>
      </c>
      <c r="AD23" s="135">
        <f t="shared" si="17"/>
        <v>4.4358988299918236</v>
      </c>
      <c r="AE23" s="20">
        <f t="shared" si="17"/>
        <v>4.4358988299918236</v>
      </c>
      <c r="AF23" s="20">
        <f t="shared" si="17"/>
        <v>4.4358988299918236</v>
      </c>
      <c r="AG23" s="20">
        <f t="shared" si="17"/>
        <v>4.4358988299918236</v>
      </c>
      <c r="AH23" s="20">
        <f t="shared" si="17"/>
        <v>4.4358988299918236</v>
      </c>
      <c r="AI23" s="20">
        <f t="shared" si="17"/>
        <v>4.4358988299918245</v>
      </c>
      <c r="AJ23" s="20">
        <f t="shared" si="17"/>
        <v>4.5447592877061886</v>
      </c>
      <c r="AK23" s="20">
        <f t="shared" si="17"/>
        <v>4.6290024887366155</v>
      </c>
      <c r="AL23" s="20">
        <f t="shared" si="17"/>
        <v>4.6834554883658459</v>
      </c>
    </row>
    <row r="24" spans="1:38" s="37" customFormat="1">
      <c r="B24" s="21"/>
      <c r="C24" s="21"/>
      <c r="D24" s="21"/>
      <c r="E24" s="21"/>
      <c r="F24" s="182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82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182"/>
      <c r="AE24" s="21"/>
      <c r="AF24" s="21"/>
      <c r="AG24" s="21"/>
      <c r="AH24" s="21"/>
      <c r="AI24" s="21"/>
      <c r="AJ24" s="21"/>
      <c r="AK24" s="21"/>
      <c r="AL24" s="21"/>
    </row>
    <row r="25" spans="1:38" s="230" customFormat="1">
      <c r="A25" s="31" t="s">
        <v>451</v>
      </c>
      <c r="B25" s="132">
        <v>781985</v>
      </c>
      <c r="C25" s="132">
        <v>1558486</v>
      </c>
      <c r="D25" s="132">
        <v>2313494</v>
      </c>
      <c r="E25" s="132">
        <v>2570763</v>
      </c>
      <c r="F25" s="132">
        <v>2597267</v>
      </c>
      <c r="G25" s="132">
        <v>2470948</v>
      </c>
      <c r="H25" s="132">
        <v>1923630</v>
      </c>
      <c r="I25" s="132">
        <v>1496618</v>
      </c>
      <c r="J25" s="132">
        <v>1173304</v>
      </c>
      <c r="K25" s="439">
        <v>628544</v>
      </c>
      <c r="L25" s="439">
        <v>850869</v>
      </c>
      <c r="M25" s="439">
        <v>1299842</v>
      </c>
      <c r="N25" s="439">
        <v>1656412</v>
      </c>
      <c r="O25" s="28"/>
      <c r="P25" s="28"/>
      <c r="Q25" s="28"/>
      <c r="R25" s="131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 s="37" customFormat="1">
      <c r="A26" s="112" t="s">
        <v>449</v>
      </c>
      <c r="B26" s="188">
        <v>3639723.6881790073</v>
      </c>
      <c r="C26" s="188">
        <v>7476534.0193790067</v>
      </c>
      <c r="D26" s="188">
        <v>11266386.919379007</v>
      </c>
      <c r="E26" s="188">
        <v>12263511.150284009</v>
      </c>
      <c r="F26" s="188">
        <v>12332308.799853267</v>
      </c>
      <c r="G26" s="188">
        <v>11677059.270161085</v>
      </c>
      <c r="H26" s="188">
        <v>9085858.9766726494</v>
      </c>
      <c r="I26" s="188">
        <v>7060109.8007370438</v>
      </c>
      <c r="J26" s="188">
        <v>5528124.5710386038</v>
      </c>
      <c r="K26" s="437">
        <v>2956025.2192034735</v>
      </c>
      <c r="L26" s="437">
        <v>3896559.9968219018</v>
      </c>
      <c r="M26" s="437">
        <v>5896420.4268219015</v>
      </c>
      <c r="N26" s="437">
        <v>7466861.6778219016</v>
      </c>
    </row>
    <row r="27" spans="1:38" s="228" customFormat="1">
      <c r="A27" s="1" t="s">
        <v>450</v>
      </c>
      <c r="B27" s="229">
        <f t="shared" ref="B27:L27" si="18">B26/B25</f>
        <v>4.6544673979411462</v>
      </c>
      <c r="C27" s="229">
        <f t="shared" si="18"/>
        <v>4.7973058592627762</v>
      </c>
      <c r="D27" s="229">
        <f t="shared" si="18"/>
        <v>4.8698578511027071</v>
      </c>
      <c r="E27" s="229">
        <f t="shared" si="18"/>
        <v>4.7703779579385612</v>
      </c>
      <c r="F27" s="229">
        <f t="shared" si="18"/>
        <v>4.7481867670336806</v>
      </c>
      <c r="G27" s="229">
        <f t="shared" si="18"/>
        <v>4.7257405943634119</v>
      </c>
      <c r="H27" s="229">
        <f t="shared" si="18"/>
        <v>4.7232882501690288</v>
      </c>
      <c r="I27" s="229">
        <f t="shared" si="18"/>
        <v>4.7173759775286976</v>
      </c>
      <c r="J27" s="229">
        <f t="shared" si="18"/>
        <v>4.7115875945523102</v>
      </c>
      <c r="K27" s="229">
        <f t="shared" si="18"/>
        <v>4.7029726148105357</v>
      </c>
      <c r="L27" s="229">
        <f t="shared" si="18"/>
        <v>4.5795063597591428</v>
      </c>
      <c r="M27" s="229">
        <f>M26/M25</f>
        <v>4.536259350614845</v>
      </c>
    </row>
    <row r="28" spans="1:38" s="198" customFormat="1">
      <c r="A28" s="1"/>
      <c r="B28" s="29"/>
      <c r="C28" s="29"/>
      <c r="D28" s="29"/>
      <c r="E28" s="29"/>
      <c r="F28" s="29"/>
      <c r="G28" s="29"/>
      <c r="H28" s="29"/>
      <c r="I28" s="29"/>
      <c r="J28" s="29"/>
      <c r="K28" s="29"/>
    </row>
    <row r="29" spans="1:38" s="31" customFormat="1">
      <c r="A29" s="31" t="s">
        <v>452</v>
      </c>
      <c r="B29" s="22">
        <f t="shared" ref="B29:C31" si="19">B21-B25</f>
        <v>0</v>
      </c>
      <c r="C29" s="22">
        <f t="shared" si="19"/>
        <v>5484</v>
      </c>
      <c r="D29" s="22">
        <f t="shared" ref="D29:E31" si="20">D21-D25</f>
        <v>5484</v>
      </c>
      <c r="E29" s="22">
        <f t="shared" si="20"/>
        <v>5484</v>
      </c>
      <c r="F29" s="22">
        <f t="shared" ref="F29:G31" si="21">F21-F25</f>
        <v>5484</v>
      </c>
      <c r="G29" s="22">
        <f t="shared" si="21"/>
        <v>5484</v>
      </c>
      <c r="H29" s="22">
        <f t="shared" ref="H29:I31" si="22">H21-H25</f>
        <v>5484</v>
      </c>
      <c r="I29" s="22">
        <f t="shared" si="22"/>
        <v>5484</v>
      </c>
      <c r="J29" s="22">
        <f t="shared" ref="J29:K31" si="23">J21-J25</f>
        <v>5484</v>
      </c>
      <c r="K29" s="22">
        <f t="shared" si="23"/>
        <v>5484</v>
      </c>
      <c r="L29" s="22">
        <f t="shared" ref="L29:M31" si="24">L21-L25</f>
        <v>5484</v>
      </c>
      <c r="M29" s="22">
        <f t="shared" si="24"/>
        <v>5484</v>
      </c>
      <c r="N29" s="22">
        <f t="shared" ref="N29" si="25">N21-N25</f>
        <v>5484</v>
      </c>
    </row>
    <row r="30" spans="1:38" s="110" customFormat="1">
      <c r="A30" s="110" t="s">
        <v>453</v>
      </c>
      <c r="B30" s="30">
        <f t="shared" si="19"/>
        <v>0</v>
      </c>
      <c r="C30" s="30">
        <f t="shared" si="19"/>
        <v>-235572.93637971021</v>
      </c>
      <c r="D30" s="30">
        <f t="shared" si="20"/>
        <v>-493249.16535714455</v>
      </c>
      <c r="E30" s="30">
        <f t="shared" si="20"/>
        <v>-568096.36967789568</v>
      </c>
      <c r="F30" s="30">
        <f t="shared" si="21"/>
        <v>-576120.66824503802</v>
      </c>
      <c r="G30" s="30">
        <f t="shared" si="21"/>
        <v>-541935.53620943427</v>
      </c>
      <c r="H30" s="30">
        <f t="shared" si="22"/>
        <v>-417046.01684740186</v>
      </c>
      <c r="I30" s="30">
        <f t="shared" si="22"/>
        <v>-319512.53740244173</v>
      </c>
      <c r="J30" s="30">
        <f t="shared" si="23"/>
        <v>-245139.34448404517</v>
      </c>
      <c r="K30" s="30">
        <f t="shared" si="23"/>
        <v>-119499.99866085267</v>
      </c>
      <c r="L30" s="30">
        <f t="shared" si="24"/>
        <v>-154854.40757747088</v>
      </c>
      <c r="M30" s="30">
        <f t="shared" si="24"/>
        <v>-249317.89518957678</v>
      </c>
      <c r="N30" s="30">
        <f t="shared" ref="N30" si="26">N22-N26</f>
        <v>-322400.73148840386</v>
      </c>
    </row>
    <row r="31" spans="1:38" s="198" customFormat="1">
      <c r="A31" s="198" t="s">
        <v>454</v>
      </c>
      <c r="B31" s="29">
        <f t="shared" si="19"/>
        <v>0</v>
      </c>
      <c r="C31" s="29">
        <f t="shared" si="19"/>
        <v>-0.16744653779286534</v>
      </c>
      <c r="D31" s="29">
        <f t="shared" si="20"/>
        <v>-0.22421750694167475</v>
      </c>
      <c r="E31" s="29">
        <f t="shared" si="20"/>
        <v>-0.23066775910820336</v>
      </c>
      <c r="F31" s="29">
        <f t="shared" si="21"/>
        <v>-0.23135510253399172</v>
      </c>
      <c r="G31" s="29">
        <f t="shared" si="21"/>
        <v>-0.22930227748184606</v>
      </c>
      <c r="H31" s="29">
        <f t="shared" si="22"/>
        <v>-0.22961241772716789</v>
      </c>
      <c r="I31" s="29">
        <f t="shared" si="22"/>
        <v>-0.22993287224383518</v>
      </c>
      <c r="J31" s="29">
        <f t="shared" si="23"/>
        <v>-0.22987822310082073</v>
      </c>
      <c r="K31" s="29">
        <f t="shared" si="23"/>
        <v>-0.2291556531895651</v>
      </c>
      <c r="L31" s="29">
        <f t="shared" si="24"/>
        <v>-0.21015681670338093</v>
      </c>
      <c r="M31" s="29">
        <f t="shared" si="24"/>
        <v>-0.21005843863398788</v>
      </c>
      <c r="N31" s="29">
        <f t="shared" ref="N31" si="27">N23-N27</f>
        <v>4.2989819738019088</v>
      </c>
    </row>
    <row r="32" spans="1:38" s="198" customFormat="1">
      <c r="B32" s="29"/>
      <c r="C32" s="29"/>
      <c r="D32" s="29"/>
      <c r="E32" s="29"/>
      <c r="F32" s="29"/>
      <c r="G32" s="29"/>
      <c r="H32" s="29"/>
      <c r="I32" s="29"/>
      <c r="J32" s="29"/>
      <c r="K32" s="29"/>
    </row>
    <row r="33" spans="1:12" s="31" customFormat="1"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s="31" customFormat="1"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6" spans="1:12">
      <c r="J36" s="22"/>
      <c r="K36" s="22"/>
      <c r="L36" s="22"/>
    </row>
    <row r="37" spans="1:12">
      <c r="J37" s="22"/>
      <c r="K37" s="22"/>
      <c r="L37" s="22"/>
    </row>
    <row r="38" spans="1:12">
      <c r="J38" s="16"/>
      <c r="K38" s="16"/>
      <c r="L38" s="16"/>
    </row>
    <row r="39" spans="1:12">
      <c r="J39" s="29"/>
      <c r="K39" s="29"/>
      <c r="L39" s="29"/>
    </row>
    <row r="46" spans="1:12">
      <c r="A46" s="33"/>
    </row>
  </sheetData>
  <phoneticPr fontId="0" type="noConversion"/>
  <printOptions gridLines="1" gridLinesSet="0"/>
  <pageMargins left="0.75" right="0.75" top="1" bottom="1" header="0.5" footer="0.5"/>
  <pageSetup scale="10" orientation="landscape" horizontalDpi="4294967292" verticalDpi="300" r:id="rId1"/>
  <headerFooter alignWithMargins="0">
    <oddHeader>&amp;A</oddHeader>
    <oddFooter>96BUD.XLW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>
    <pageSetUpPr fitToPage="1"/>
  </sheetPr>
  <dimension ref="A1:AN31"/>
  <sheetViews>
    <sheetView zoomScale="50" workbookViewId="0">
      <pane xSplit="1" ySplit="4" topLeftCell="H5" activePane="bottomRight" state="frozen"/>
      <selection activeCell="AA2" sqref="AA2"/>
      <selection pane="topRight" activeCell="AA2" sqref="AA2"/>
      <selection pane="bottomLeft" activeCell="AA2" sqref="AA2"/>
      <selection pane="bottomRight" activeCell="N22" sqref="N22:N23"/>
    </sheetView>
  </sheetViews>
  <sheetFormatPr defaultRowHeight="20.25"/>
  <cols>
    <col min="1" max="1" width="41.21875" style="4" bestFit="1" customWidth="1"/>
    <col min="2" max="2" width="15.88671875" style="10" bestFit="1" customWidth="1"/>
    <col min="3" max="4" width="14.33203125" style="10" customWidth="1"/>
    <col min="5" max="5" width="15.88671875" style="10" bestFit="1" customWidth="1"/>
    <col min="6" max="7" width="14.33203125" style="10" bestFit="1" customWidth="1"/>
    <col min="8" max="11" width="15.44140625" style="10" bestFit="1" customWidth="1"/>
    <col min="12" max="19" width="14.33203125" style="10" bestFit="1" customWidth="1"/>
    <col min="20" max="21" width="15.44140625" style="10" bestFit="1" customWidth="1"/>
    <col min="22" max="31" width="14.33203125" style="10" bestFit="1" customWidth="1"/>
    <col min="32" max="33" width="15.44140625" style="10" bestFit="1" customWidth="1"/>
    <col min="34" max="39" width="14.33203125" style="10" bestFit="1" customWidth="1"/>
    <col min="40" max="40" width="10.109375" style="10" bestFit="1" customWidth="1"/>
    <col min="41" max="16384" width="8.88671875" style="10"/>
  </cols>
  <sheetData>
    <row r="1" spans="1:40">
      <c r="C1" s="13" t="s">
        <v>55</v>
      </c>
      <c r="D1" s="28">
        <v>562659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13" t="s">
        <v>55</v>
      </c>
      <c r="P1" s="28">
        <v>562659</v>
      </c>
      <c r="AA1" s="13" t="s">
        <v>55</v>
      </c>
      <c r="AB1" s="28">
        <v>562659</v>
      </c>
      <c r="AM1" s="13" t="s">
        <v>55</v>
      </c>
      <c r="AN1" s="28">
        <v>562659</v>
      </c>
    </row>
    <row r="2" spans="1:40">
      <c r="C2" s="131" t="s">
        <v>759</v>
      </c>
      <c r="D2" s="132">
        <v>1300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131" t="s">
        <v>760</v>
      </c>
      <c r="P2" s="132">
        <v>1500</v>
      </c>
      <c r="AA2" s="131" t="s">
        <v>871</v>
      </c>
      <c r="AB2" s="132">
        <v>1650</v>
      </c>
      <c r="AM2" s="131" t="s">
        <v>903</v>
      </c>
      <c r="AN2" s="132">
        <v>1650</v>
      </c>
    </row>
    <row r="3" spans="1:40" s="22" customFormat="1">
      <c r="A3" s="111" t="s">
        <v>1</v>
      </c>
      <c r="B3" s="22">
        <v>30</v>
      </c>
      <c r="C3" s="28">
        <v>31</v>
      </c>
      <c r="D3" s="28">
        <v>31</v>
      </c>
      <c r="E3" s="28">
        <v>30</v>
      </c>
      <c r="F3" s="28">
        <v>31</v>
      </c>
      <c r="G3" s="28"/>
      <c r="H3" s="28"/>
      <c r="I3" s="28"/>
      <c r="J3" s="28"/>
      <c r="K3" s="28"/>
      <c r="L3" s="28">
        <v>30</v>
      </c>
      <c r="M3" s="28">
        <v>31</v>
      </c>
      <c r="N3" s="28">
        <v>30</v>
      </c>
      <c r="O3" s="28">
        <v>31</v>
      </c>
      <c r="P3" s="28">
        <v>31</v>
      </c>
      <c r="Q3" s="28">
        <v>30</v>
      </c>
      <c r="R3" s="28">
        <v>31</v>
      </c>
      <c r="S3" s="28"/>
      <c r="T3" s="28"/>
      <c r="U3" s="28"/>
      <c r="V3" s="28"/>
      <c r="W3" s="28"/>
      <c r="X3" s="28">
        <v>30</v>
      </c>
      <c r="Y3" s="28">
        <v>31</v>
      </c>
      <c r="Z3" s="28">
        <v>30</v>
      </c>
      <c r="AA3" s="22">
        <v>31</v>
      </c>
      <c r="AB3" s="22">
        <v>31</v>
      </c>
      <c r="AC3" s="22">
        <v>30</v>
      </c>
      <c r="AD3" s="22">
        <v>31</v>
      </c>
      <c r="AJ3" s="22">
        <v>30</v>
      </c>
      <c r="AK3" s="22">
        <v>31</v>
      </c>
      <c r="AL3" s="22">
        <v>30</v>
      </c>
      <c r="AM3" s="22">
        <v>31</v>
      </c>
    </row>
    <row r="4" spans="1:40">
      <c r="B4" s="46">
        <v>40330</v>
      </c>
      <c r="C4" s="46">
        <v>40360</v>
      </c>
      <c r="D4" s="46">
        <v>40391</v>
      </c>
      <c r="E4" s="46">
        <v>40422</v>
      </c>
      <c r="F4" s="46">
        <v>40452</v>
      </c>
      <c r="G4" s="46">
        <v>40483</v>
      </c>
      <c r="H4" s="46">
        <v>40513</v>
      </c>
      <c r="I4" s="46">
        <v>40544</v>
      </c>
      <c r="J4" s="46">
        <v>40575</v>
      </c>
      <c r="K4" s="46">
        <v>40603</v>
      </c>
      <c r="L4" s="46">
        <v>40634</v>
      </c>
      <c r="M4" s="46">
        <v>40664</v>
      </c>
      <c r="N4" s="46">
        <v>40695</v>
      </c>
      <c r="O4" s="46">
        <v>40725</v>
      </c>
      <c r="P4" s="46">
        <v>40756</v>
      </c>
      <c r="Q4" s="46">
        <v>40787</v>
      </c>
      <c r="R4" s="46">
        <v>40817</v>
      </c>
      <c r="S4" s="46">
        <v>40848</v>
      </c>
      <c r="T4" s="46">
        <v>40878</v>
      </c>
      <c r="U4" s="46">
        <v>40909</v>
      </c>
      <c r="V4" s="46">
        <v>40940</v>
      </c>
      <c r="W4" s="46">
        <v>40969</v>
      </c>
      <c r="X4" s="46">
        <v>41000</v>
      </c>
      <c r="Y4" s="46">
        <v>41030</v>
      </c>
      <c r="Z4" s="46">
        <v>41061</v>
      </c>
      <c r="AA4" s="46">
        <v>41091</v>
      </c>
      <c r="AB4" s="46">
        <v>41122</v>
      </c>
      <c r="AC4" s="46">
        <v>41153</v>
      </c>
      <c r="AD4" s="46">
        <v>41183</v>
      </c>
      <c r="AE4" s="46">
        <v>41214</v>
      </c>
      <c r="AF4" s="46">
        <v>41244</v>
      </c>
      <c r="AG4" s="46">
        <v>41275</v>
      </c>
      <c r="AH4" s="46">
        <v>41306</v>
      </c>
      <c r="AI4" s="46">
        <v>41334</v>
      </c>
      <c r="AJ4" s="46">
        <v>41365</v>
      </c>
      <c r="AK4" s="46">
        <v>41395</v>
      </c>
      <c r="AL4" s="46">
        <v>41426</v>
      </c>
      <c r="AM4" s="46">
        <v>41456</v>
      </c>
    </row>
    <row r="5" spans="1:40">
      <c r="A5" s="4" t="s">
        <v>346</v>
      </c>
      <c r="B5" s="46"/>
      <c r="C5" s="28">
        <f>$D$2*C3</f>
        <v>40300</v>
      </c>
      <c r="D5" s="28">
        <f>$D$2*D3</f>
        <v>40300</v>
      </c>
      <c r="E5" s="28">
        <f>$D$2*E3</f>
        <v>39000</v>
      </c>
      <c r="F5" s="28">
        <f>$D$2*F3</f>
        <v>40300</v>
      </c>
      <c r="G5" s="55"/>
      <c r="H5" s="55"/>
      <c r="I5" s="55"/>
      <c r="J5" s="55"/>
      <c r="K5" s="55"/>
      <c r="L5" s="28">
        <f>$P$2*L3</f>
        <v>45000</v>
      </c>
      <c r="M5" s="28">
        <f t="shared" ref="M5:R5" si="0">$P$2*M3</f>
        <v>46500</v>
      </c>
      <c r="N5" s="28">
        <f t="shared" si="0"/>
        <v>45000</v>
      </c>
      <c r="O5" s="28">
        <f t="shared" si="0"/>
        <v>46500</v>
      </c>
      <c r="P5" s="28">
        <f t="shared" si="0"/>
        <v>46500</v>
      </c>
      <c r="Q5" s="28">
        <f t="shared" si="0"/>
        <v>45000</v>
      </c>
      <c r="R5" s="28">
        <f t="shared" si="0"/>
        <v>46500</v>
      </c>
      <c r="S5" s="55"/>
      <c r="T5" s="55"/>
      <c r="U5" s="55"/>
      <c r="V5" s="55"/>
      <c r="W5" s="55"/>
      <c r="X5" s="28">
        <f>$AB$2*X3</f>
        <v>49500</v>
      </c>
      <c r="Y5" s="28">
        <f t="shared" ref="Y5:AD5" si="1">$AB$2*Y3</f>
        <v>51150</v>
      </c>
      <c r="Z5" s="28">
        <f t="shared" si="1"/>
        <v>49500</v>
      </c>
      <c r="AA5" s="28">
        <f t="shared" si="1"/>
        <v>51150</v>
      </c>
      <c r="AB5" s="28">
        <f t="shared" si="1"/>
        <v>51150</v>
      </c>
      <c r="AC5" s="28">
        <f t="shared" si="1"/>
        <v>49500</v>
      </c>
      <c r="AD5" s="28">
        <f t="shared" si="1"/>
        <v>51150</v>
      </c>
      <c r="AE5" s="55"/>
      <c r="AF5" s="55"/>
      <c r="AG5" s="55"/>
      <c r="AH5" s="55"/>
      <c r="AI5" s="55"/>
      <c r="AJ5" s="28">
        <f>$AN$2*AJ3</f>
        <v>49500</v>
      </c>
      <c r="AK5" s="28">
        <f>$AN$2*AK3</f>
        <v>51150</v>
      </c>
      <c r="AL5" s="28">
        <f>$AN$2*AL3</f>
        <v>49500</v>
      </c>
      <c r="AM5" s="28">
        <f>$AN$2*AM3</f>
        <v>51150</v>
      </c>
    </row>
    <row r="6" spans="1:40" s="195" customFormat="1">
      <c r="A6" s="225" t="s">
        <v>196</v>
      </c>
      <c r="C6" s="132">
        <v>71564</v>
      </c>
      <c r="D6" s="132">
        <v>7511</v>
      </c>
      <c r="E6" s="132">
        <v>50813</v>
      </c>
      <c r="F6" s="132">
        <v>52188</v>
      </c>
      <c r="G6" s="132">
        <v>3011</v>
      </c>
      <c r="H6" s="132">
        <v>2629</v>
      </c>
      <c r="I6" s="132">
        <v>2440</v>
      </c>
      <c r="J6" s="132">
        <v>5258</v>
      </c>
      <c r="K6" s="439">
        <v>5303</v>
      </c>
      <c r="L6" s="439">
        <v>0</v>
      </c>
      <c r="M6" s="439">
        <v>108585</v>
      </c>
      <c r="N6" s="439">
        <v>0</v>
      </c>
      <c r="O6" s="195">
        <f t="shared" ref="O6:R6" si="2">O5</f>
        <v>46500</v>
      </c>
      <c r="P6" s="195">
        <f t="shared" si="2"/>
        <v>46500</v>
      </c>
      <c r="Q6" s="195">
        <f t="shared" si="2"/>
        <v>45000</v>
      </c>
      <c r="R6" s="195">
        <f t="shared" si="2"/>
        <v>46500</v>
      </c>
      <c r="X6" s="195">
        <f>X5</f>
        <v>49500</v>
      </c>
      <c r="Y6" s="195">
        <f t="shared" ref="Y6:AD6" si="3">Y5</f>
        <v>51150</v>
      </c>
      <c r="Z6" s="195">
        <f t="shared" si="3"/>
        <v>49500</v>
      </c>
      <c r="AA6" s="195">
        <f t="shared" si="3"/>
        <v>51150</v>
      </c>
      <c r="AB6" s="195">
        <f t="shared" si="3"/>
        <v>51150</v>
      </c>
      <c r="AC6" s="195">
        <f t="shared" si="3"/>
        <v>49500</v>
      </c>
      <c r="AD6" s="195">
        <f t="shared" si="3"/>
        <v>51150</v>
      </c>
      <c r="AJ6" s="195">
        <f>AJ5</f>
        <v>49500</v>
      </c>
      <c r="AK6" s="195">
        <f>AK5</f>
        <v>51150</v>
      </c>
      <c r="AL6" s="195">
        <f>AL5</f>
        <v>49500</v>
      </c>
      <c r="AM6" s="195">
        <f>AM5</f>
        <v>51150</v>
      </c>
    </row>
    <row r="7" spans="1:40" s="189" customFormat="1">
      <c r="A7" s="223" t="s">
        <v>57</v>
      </c>
      <c r="C7" s="146">
        <f>+'GAS '!C22</f>
        <v>4.8658313039628069</v>
      </c>
      <c r="D7" s="146">
        <f>+'GAS '!D22</f>
        <v>4.9310778539603763</v>
      </c>
      <c r="E7" s="146">
        <f>+'GAS '!E22</f>
        <v>3.7011976975868937</v>
      </c>
      <c r="F7" s="146">
        <f>+'GAS '!F22</f>
        <v>3.9120966288083645</v>
      </c>
      <c r="G7" s="146">
        <f>+'GAS '!G22</f>
        <v>3.3109999999999999</v>
      </c>
      <c r="H7" s="146">
        <f>+'GAS '!H22</f>
        <v>4.6284909529553682</v>
      </c>
      <c r="I7" s="146">
        <f>+'GAS '!I22</f>
        <v>4.6194339651476053</v>
      </c>
      <c r="J7" s="146">
        <f>+'GAS '!J22</f>
        <v>4.5345033336832365</v>
      </c>
      <c r="K7" s="146">
        <f>+'GAS '!K22</f>
        <v>3.7609999999999997</v>
      </c>
      <c r="L7" s="146">
        <f>+'GAS '!L22</f>
        <v>4.449844771241831</v>
      </c>
      <c r="M7" s="146">
        <f>+'GAS '!M22</f>
        <v>4.5546478873239424</v>
      </c>
      <c r="N7" s="146">
        <f>+'GAS '!N22</f>
        <v>4.4789252105002495</v>
      </c>
      <c r="O7" s="189">
        <f>SUM('FT GAS'!X109,'FT GAS'!Y111)</f>
        <v>4.4750000000000005</v>
      </c>
      <c r="P7" s="189">
        <f>SUM('FT GAS'!Y109,'FT GAS'!Z111)</f>
        <v>4.4400000000000004</v>
      </c>
      <c r="Q7" s="189">
        <f>SUM('FT GAS'!Z109,'FT GAS'!AA111)</f>
        <v>4.069</v>
      </c>
      <c r="R7" s="189">
        <f>SUM('FT GAS'!AA109,'FT GAS'!AB111)</f>
        <v>4.1449999999999996</v>
      </c>
      <c r="S7" s="189">
        <f>SUM('FT GAS'!AB109,'FT GAS'!AC111)</f>
        <v>4.2969999999999997</v>
      </c>
      <c r="T7" s="189">
        <f>SUM('FT GAS'!AC109,'FT GAS'!AD111)</f>
        <v>4.5179999999999998</v>
      </c>
      <c r="U7" s="189">
        <f>SUM('FT GAS'!AD109,'FT GAS'!AE111)</f>
        <v>4.6150000000000002</v>
      </c>
      <c r="V7" s="189">
        <f>SUM('FT GAS'!AE109,'FT GAS'!AF111)</f>
        <v>4.6159999999999997</v>
      </c>
      <c r="W7" s="189">
        <f>SUM('FT GAS'!AF109,'FT GAS'!AG111)</f>
        <v>4.5129999999999999</v>
      </c>
      <c r="X7" s="189">
        <f>SUM('FT GAS'!AG109,'FT GAS'!AH111)</f>
        <v>4.468</v>
      </c>
      <c r="Y7" s="189">
        <f>SUM('FT GAS'!AH109,'FT GAS'!AI111)</f>
        <v>4.4939999999999998</v>
      </c>
      <c r="Z7" s="189">
        <f>SUM('FT GAS'!AI109,'FT GAS'!AO111)</f>
        <v>4.5259999999999998</v>
      </c>
      <c r="AA7" s="189">
        <f>SUM('FT GAS'!AO109,'FT GAS'!AO111)</f>
        <v>4.5649999999999995</v>
      </c>
      <c r="AB7" s="189">
        <f>SUM('FT GAS'!AP109,'FT GAS'!AP111)</f>
        <v>4.5889999999999995</v>
      </c>
      <c r="AC7" s="189">
        <f>SUM('FT GAS'!AQ109,'FT GAS'!AQ111)</f>
        <v>4.593</v>
      </c>
      <c r="AD7" s="189">
        <f>SUM('FT GAS'!AR109,'FT GAS'!AR111)</f>
        <v>4.625</v>
      </c>
      <c r="AE7" s="189">
        <f>SUM('FT GAS'!AS109,'FT GAS'!AS111)</f>
        <v>4.74</v>
      </c>
      <c r="AF7" s="189">
        <f>SUM('FT GAS'!AT109,'FT GAS'!AT111)</f>
        <v>4.9729999999999999</v>
      </c>
      <c r="AG7" s="189">
        <f>SUM('FT GAS'!AU109,'FT GAS'!AU111)</f>
        <v>5.0999999999999996</v>
      </c>
      <c r="AH7" s="189">
        <f>SUM('FT GAS'!AV109,'FT GAS'!AV111)</f>
        <v>5.0729999999999995</v>
      </c>
      <c r="AI7" s="189">
        <f>SUM('FT GAS'!AW109,'FT GAS'!AW111)</f>
        <v>5.0039999999999996</v>
      </c>
      <c r="AJ7" s="189">
        <f>SUM('FT GAS'!AX109,'FT GAS'!AX111)</f>
        <v>4.8084999999999996</v>
      </c>
      <c r="AK7" s="189">
        <f>SUM('FT GAS'!AY109,'FT GAS'!AY111)</f>
        <v>4.8205</v>
      </c>
      <c r="AL7" s="189">
        <f>SUM('FT GAS'!AZ109,'FT GAS'!AZ111)</f>
        <v>4.8555000000000001</v>
      </c>
    </row>
    <row r="8" spans="1:40">
      <c r="A8" s="4" t="s">
        <v>58</v>
      </c>
      <c r="B8" s="25"/>
      <c r="C8" s="25">
        <f t="shared" ref="C8:H8" si="4">+C6*C7</f>
        <v>348218.35143679433</v>
      </c>
      <c r="D8" s="25">
        <f t="shared" si="4"/>
        <v>37037.325761096385</v>
      </c>
      <c r="E8" s="25">
        <f t="shared" si="4"/>
        <v>188068.95860748284</v>
      </c>
      <c r="F8" s="25">
        <f t="shared" si="4"/>
        <v>204164.49886425093</v>
      </c>
      <c r="G8" s="25">
        <f t="shared" si="4"/>
        <v>9969.4210000000003</v>
      </c>
      <c r="H8" s="25">
        <f t="shared" si="4"/>
        <v>12168.302715319664</v>
      </c>
      <c r="I8" s="25">
        <f>+I6*I7</f>
        <v>11271.418874960156</v>
      </c>
      <c r="J8" s="25">
        <f>+J6*J7</f>
        <v>23842.41852850646</v>
      </c>
      <c r="K8" s="25">
        <f>+K6*K7</f>
        <v>19944.582999999999</v>
      </c>
      <c r="L8" s="25">
        <f t="shared" ref="L8:R8" si="5">+L6*L7</f>
        <v>0</v>
      </c>
      <c r="M8" s="25">
        <f t="shared" si="5"/>
        <v>494566.44084507029</v>
      </c>
      <c r="N8" s="25">
        <f t="shared" si="5"/>
        <v>0</v>
      </c>
      <c r="O8" s="25">
        <f t="shared" si="5"/>
        <v>208087.50000000003</v>
      </c>
      <c r="P8" s="25">
        <f t="shared" si="5"/>
        <v>206460.00000000003</v>
      </c>
      <c r="Q8" s="25">
        <f t="shared" si="5"/>
        <v>183105</v>
      </c>
      <c r="R8" s="25">
        <f t="shared" si="5"/>
        <v>192742.49999999997</v>
      </c>
      <c r="X8" s="25">
        <f t="shared" ref="X8:AD8" si="6">+X6*X7</f>
        <v>221166</v>
      </c>
      <c r="Y8" s="25">
        <f t="shared" si="6"/>
        <v>229868.09999999998</v>
      </c>
      <c r="Z8" s="25">
        <f t="shared" si="6"/>
        <v>224037</v>
      </c>
      <c r="AA8" s="25">
        <f t="shared" si="6"/>
        <v>233499.74999999997</v>
      </c>
      <c r="AB8" s="25">
        <f t="shared" si="6"/>
        <v>234727.34999999998</v>
      </c>
      <c r="AC8" s="25">
        <f t="shared" si="6"/>
        <v>227353.5</v>
      </c>
      <c r="AD8" s="25">
        <f t="shared" si="6"/>
        <v>236568.75</v>
      </c>
      <c r="AJ8" s="25">
        <f>+AJ6*AJ7</f>
        <v>238020.74999999997</v>
      </c>
      <c r="AK8" s="25">
        <f>+AK6*AK7</f>
        <v>246568.57500000001</v>
      </c>
      <c r="AL8" s="25">
        <f>+AL6*AL7</f>
        <v>240347.25</v>
      </c>
      <c r="AM8" s="25">
        <f>+AM6*AM7</f>
        <v>0</v>
      </c>
    </row>
    <row r="9" spans="1:40">
      <c r="A9" s="4" t="s">
        <v>197</v>
      </c>
      <c r="H9" s="150">
        <v>-0.18</v>
      </c>
      <c r="I9" s="150">
        <v>-0.21</v>
      </c>
      <c r="J9" s="150">
        <v>-0.16</v>
      </c>
      <c r="K9" s="150">
        <v>-0.08</v>
      </c>
      <c r="T9" s="150">
        <v>-0.18</v>
      </c>
      <c r="U9" s="150">
        <v>-0.21</v>
      </c>
      <c r="V9" s="150">
        <v>-0.16</v>
      </c>
      <c r="W9" s="150">
        <v>-0.08</v>
      </c>
      <c r="AF9" s="150">
        <v>0.18</v>
      </c>
      <c r="AG9" s="150">
        <v>0.21</v>
      </c>
      <c r="AH9" s="150">
        <v>0.16</v>
      </c>
      <c r="AI9" s="150">
        <v>0.08</v>
      </c>
    </row>
    <row r="10" spans="1:40">
      <c r="A10" s="4" t="s">
        <v>347</v>
      </c>
      <c r="H10" s="108">
        <f>H9*$D$1</f>
        <v>-101278.62</v>
      </c>
      <c r="I10" s="108">
        <f>I9*$D$1</f>
        <v>-118158.39</v>
      </c>
      <c r="J10" s="108">
        <f>J9*$D$1</f>
        <v>-90025.44</v>
      </c>
      <c r="K10" s="108">
        <f>K9*$D$1</f>
        <v>-45012.72</v>
      </c>
      <c r="T10" s="107">
        <f>T9*$P$1</f>
        <v>-101278.62</v>
      </c>
      <c r="U10" s="107">
        <f>U9*$P$1</f>
        <v>-118158.39</v>
      </c>
      <c r="V10" s="107">
        <f>V9*$P$1</f>
        <v>-90025.44</v>
      </c>
      <c r="W10" s="107">
        <f>W9*$P$1</f>
        <v>-45012.72</v>
      </c>
      <c r="AF10" s="107">
        <f>-AF9*$AB$1</f>
        <v>-101278.62</v>
      </c>
      <c r="AG10" s="107">
        <f>-AG9*$AB$1</f>
        <v>-118158.39</v>
      </c>
      <c r="AH10" s="107">
        <f>-AH9*$AB$1</f>
        <v>-90025.44</v>
      </c>
      <c r="AI10" s="107">
        <f>-AI9*$AB$1</f>
        <v>-45012.72</v>
      </c>
    </row>
    <row r="11" spans="1:40" s="196" customFormat="1">
      <c r="A11" s="226" t="s">
        <v>198</v>
      </c>
      <c r="G11" s="196">
        <v>0</v>
      </c>
      <c r="H11" s="421">
        <v>-127336</v>
      </c>
      <c r="I11" s="421">
        <v>-77317</v>
      </c>
      <c r="J11" s="421">
        <v>-151727</v>
      </c>
      <c r="K11" s="438">
        <v>-13550</v>
      </c>
      <c r="L11" s="438">
        <v>-14514</v>
      </c>
      <c r="T11" s="196">
        <f>T10</f>
        <v>-101278.62</v>
      </c>
      <c r="U11" s="196">
        <f>U10</f>
        <v>-118158.39</v>
      </c>
      <c r="V11" s="196">
        <f>V10</f>
        <v>-90025.44</v>
      </c>
      <c r="W11" s="196">
        <f>W10</f>
        <v>-45012.72</v>
      </c>
      <c r="AF11" s="196">
        <f>AF10</f>
        <v>-101278.62</v>
      </c>
      <c r="AG11" s="196">
        <f>AG10</f>
        <v>-118158.39</v>
      </c>
      <c r="AH11" s="196">
        <f>AH10</f>
        <v>-90025.44</v>
      </c>
      <c r="AI11" s="196">
        <f>AI10</f>
        <v>-45012.72</v>
      </c>
    </row>
    <row r="12" spans="1:40">
      <c r="A12" s="4" t="s">
        <v>59</v>
      </c>
      <c r="G12" s="20">
        <f t="shared" ref="G12:L12" si="7">+F20</f>
        <v>4.9090440041693801</v>
      </c>
      <c r="H12" s="20">
        <f t="shared" si="7"/>
        <v>4.9003052746730242</v>
      </c>
      <c r="I12" s="20">
        <f t="shared" si="7"/>
        <v>4.898627463642117</v>
      </c>
      <c r="J12" s="20">
        <f t="shared" si="7"/>
        <v>4.8966868248558795</v>
      </c>
      <c r="K12" s="20">
        <f t="shared" si="7"/>
        <v>4.8873775515817988</v>
      </c>
      <c r="L12" s="20">
        <f t="shared" si="7"/>
        <v>4.8569516623095517</v>
      </c>
      <c r="T12" s="20">
        <f>+S20</f>
        <v>4.5652246579444888</v>
      </c>
      <c r="U12" s="20">
        <f>+T20</f>
        <v>4.5652246579444888</v>
      </c>
      <c r="V12" s="20">
        <f>+U20</f>
        <v>4.5652246579444897</v>
      </c>
      <c r="W12" s="20">
        <f>+V20</f>
        <v>4.5652246579444888</v>
      </c>
      <c r="AF12" s="20">
        <f>+AE20</f>
        <v>4.5551713788947099</v>
      </c>
      <c r="AG12" s="20">
        <f>+AF20</f>
        <v>4.5551713788947099</v>
      </c>
      <c r="AH12" s="20">
        <f>+AG20</f>
        <v>4.5551713788947099</v>
      </c>
      <c r="AI12" s="20">
        <f>+AH20</f>
        <v>4.5551713788947099</v>
      </c>
    </row>
    <row r="13" spans="1:40">
      <c r="A13" s="4" t="s">
        <v>60</v>
      </c>
      <c r="G13" s="30">
        <f t="shared" ref="G13:L13" si="8">G11*G12</f>
        <v>0</v>
      </c>
      <c r="H13" s="30">
        <f t="shared" si="8"/>
        <v>-623985.27245576424</v>
      </c>
      <c r="I13" s="30">
        <f t="shared" si="8"/>
        <v>-378747.17960641754</v>
      </c>
      <c r="J13" s="30">
        <f t="shared" si="8"/>
        <v>-742959.60187490797</v>
      </c>
      <c r="K13" s="30">
        <f t="shared" si="8"/>
        <v>-66223.96582393338</v>
      </c>
      <c r="L13" s="30">
        <f t="shared" si="8"/>
        <v>-70493.796426760833</v>
      </c>
      <c r="T13" s="30">
        <f>T10*T12</f>
        <v>-462359.65334658982</v>
      </c>
      <c r="U13" s="30">
        <f>U11*U12</f>
        <v>-539419.59557102155</v>
      </c>
      <c r="V13" s="30">
        <f>V11*V12</f>
        <v>-410986.35853030218</v>
      </c>
      <c r="W13" s="30">
        <f>W11*W12</f>
        <v>-205493.17926515106</v>
      </c>
      <c r="AF13" s="30">
        <f>AF11*AF12</f>
        <v>-461341.4711179533</v>
      </c>
      <c r="AG13" s="30">
        <f>AG11*AG12</f>
        <v>-538231.71630427893</v>
      </c>
      <c r="AH13" s="30">
        <f>AH11*AH12</f>
        <v>-410081.30766040296</v>
      </c>
      <c r="AI13" s="30">
        <f>AI11*AI12</f>
        <v>-205040.65383020148</v>
      </c>
    </row>
    <row r="14" spans="1:40">
      <c r="A14" s="4" t="s">
        <v>62</v>
      </c>
    </row>
    <row r="15" spans="1:40" s="16" customFormat="1">
      <c r="A15" s="7" t="s">
        <v>63</v>
      </c>
    </row>
    <row r="16" spans="1:40">
      <c r="A16" s="4" t="s">
        <v>64</v>
      </c>
    </row>
    <row r="17" spans="1:38">
      <c r="A17" s="4" t="s">
        <v>350</v>
      </c>
      <c r="B17" s="124">
        <f>B18/$D$1</f>
        <v>0.64965103197496177</v>
      </c>
      <c r="C17" s="124">
        <f t="shared" ref="C17:N17" si="9">C18/$D$1</f>
        <v>0.776839968791044</v>
      </c>
      <c r="D17" s="124">
        <f t="shared" si="9"/>
        <v>0.79018908432994051</v>
      </c>
      <c r="E17" s="124">
        <f t="shared" si="9"/>
        <v>0.88049777929438611</v>
      </c>
      <c r="F17" s="134">
        <f t="shared" si="9"/>
        <v>0.97325022793557026</v>
      </c>
      <c r="G17" s="128">
        <f t="shared" si="9"/>
        <v>0.97860160416877717</v>
      </c>
      <c r="H17" s="124">
        <f t="shared" si="9"/>
        <v>0.7569629207033034</v>
      </c>
      <c r="I17" s="124">
        <f t="shared" si="9"/>
        <v>0.62388587048283239</v>
      </c>
      <c r="J17" s="124">
        <f t="shared" si="9"/>
        <v>0.36357011973504377</v>
      </c>
      <c r="K17" s="134">
        <f t="shared" si="9"/>
        <v>0.34891292950081665</v>
      </c>
      <c r="L17" s="124">
        <f t="shared" si="9"/>
        <v>0.32311755432686584</v>
      </c>
      <c r="M17" s="124">
        <f t="shared" si="9"/>
        <v>0.51610300377315566</v>
      </c>
      <c r="N17" s="124">
        <f t="shared" si="9"/>
        <v>0.51610300377315566</v>
      </c>
      <c r="O17" s="124">
        <f>O18/$P$1</f>
        <v>0.59874630993194811</v>
      </c>
      <c r="P17" s="124">
        <f t="shared" ref="P17:Z17" si="10">P18/$P$1</f>
        <v>0.68138961609074056</v>
      </c>
      <c r="Q17" s="124">
        <f t="shared" si="10"/>
        <v>0.76136700914763644</v>
      </c>
      <c r="R17" s="134">
        <f t="shared" si="10"/>
        <v>0.84401031530642889</v>
      </c>
      <c r="S17" s="124">
        <f t="shared" si="10"/>
        <v>0.84401031530642889</v>
      </c>
      <c r="T17" s="124">
        <f t="shared" si="10"/>
        <v>0.66401031530642896</v>
      </c>
      <c r="U17" s="124">
        <f t="shared" si="10"/>
        <v>0.45401031530642894</v>
      </c>
      <c r="V17" s="124">
        <f t="shared" si="10"/>
        <v>0.2940103153064289</v>
      </c>
      <c r="W17" s="134">
        <f t="shared" si="10"/>
        <v>0.21401031530642892</v>
      </c>
      <c r="X17" s="124">
        <f t="shared" si="10"/>
        <v>0.30198544766901442</v>
      </c>
      <c r="Y17" s="124">
        <f t="shared" si="10"/>
        <v>0.39289308444368609</v>
      </c>
      <c r="Z17" s="124">
        <f t="shared" si="10"/>
        <v>0.48086821680627156</v>
      </c>
      <c r="AA17" s="124">
        <f t="shared" ref="AA17:AL17" si="11">AA18/$AB$1</f>
        <v>0.57177585358094329</v>
      </c>
      <c r="AB17" s="124">
        <f t="shared" si="11"/>
        <v>0.66268349035561491</v>
      </c>
      <c r="AC17" s="124">
        <f t="shared" si="11"/>
        <v>0.7506586227182005</v>
      </c>
      <c r="AD17" s="134">
        <f t="shared" si="11"/>
        <v>0.84156625949287212</v>
      </c>
      <c r="AE17" s="124">
        <f t="shared" si="11"/>
        <v>0.84156625949287212</v>
      </c>
      <c r="AF17" s="124">
        <f t="shared" si="11"/>
        <v>0.66156625949287218</v>
      </c>
      <c r="AG17" s="124">
        <f t="shared" si="11"/>
        <v>0.45156625949287216</v>
      </c>
      <c r="AH17" s="124">
        <f t="shared" si="11"/>
        <v>0.29156625949287213</v>
      </c>
      <c r="AI17" s="134">
        <f t="shared" si="11"/>
        <v>0.21156625949287214</v>
      </c>
      <c r="AJ17" s="124">
        <f t="shared" si="11"/>
        <v>0.29954139185545764</v>
      </c>
      <c r="AK17" s="124">
        <f t="shared" si="11"/>
        <v>0.39044902863012937</v>
      </c>
      <c r="AL17" s="124">
        <f t="shared" si="11"/>
        <v>0.47842416099271479</v>
      </c>
    </row>
    <row r="18" spans="1:38" s="24" customFormat="1">
      <c r="A18" s="35" t="s">
        <v>348</v>
      </c>
      <c r="B18" s="132">
        <v>365532</v>
      </c>
      <c r="C18" s="132">
        <f>B18+C6+C11</f>
        <v>437096</v>
      </c>
      <c r="D18" s="132">
        <f t="shared" ref="D18:L18" si="12">C18+D6+D11</f>
        <v>444607</v>
      </c>
      <c r="E18" s="132">
        <f t="shared" si="12"/>
        <v>495420</v>
      </c>
      <c r="F18" s="132">
        <f t="shared" si="12"/>
        <v>547608</v>
      </c>
      <c r="G18" s="132">
        <f t="shared" si="12"/>
        <v>550619</v>
      </c>
      <c r="H18" s="132">
        <f t="shared" si="12"/>
        <v>425912</v>
      </c>
      <c r="I18" s="132">
        <f t="shared" si="12"/>
        <v>351035</v>
      </c>
      <c r="J18" s="28">
        <f t="shared" si="12"/>
        <v>204566</v>
      </c>
      <c r="K18" s="28">
        <f t="shared" si="12"/>
        <v>196319</v>
      </c>
      <c r="L18" s="28">
        <f t="shared" si="12"/>
        <v>181805</v>
      </c>
      <c r="M18" s="28">
        <f>+L18+M6+M11</f>
        <v>290390</v>
      </c>
      <c r="N18" s="28">
        <f>+M18+N6+N11</f>
        <v>290390</v>
      </c>
      <c r="O18" s="28">
        <f t="shared" ref="O18:Z18" si="13">+N18+O6+O11</f>
        <v>336890</v>
      </c>
      <c r="P18" s="28">
        <f t="shared" si="13"/>
        <v>383390</v>
      </c>
      <c r="Q18" s="28">
        <f t="shared" si="13"/>
        <v>428390</v>
      </c>
      <c r="R18" s="28">
        <f t="shared" si="13"/>
        <v>474890</v>
      </c>
      <c r="S18" s="28">
        <f t="shared" si="13"/>
        <v>474890</v>
      </c>
      <c r="T18" s="28">
        <f>+S18+T6+T10</f>
        <v>373611.38</v>
      </c>
      <c r="U18" s="28">
        <f t="shared" si="13"/>
        <v>255452.99</v>
      </c>
      <c r="V18" s="28">
        <f t="shared" si="13"/>
        <v>165427.54999999999</v>
      </c>
      <c r="W18" s="28">
        <f t="shared" si="13"/>
        <v>120414.82999999999</v>
      </c>
      <c r="X18" s="28">
        <f t="shared" si="13"/>
        <v>169914.83</v>
      </c>
      <c r="Y18" s="28">
        <f t="shared" si="13"/>
        <v>221064.83</v>
      </c>
      <c r="Z18" s="28">
        <f t="shared" si="13"/>
        <v>270564.82999999996</v>
      </c>
      <c r="AA18" s="28">
        <f>+Z18+AA6+AA11</f>
        <v>321714.82999999996</v>
      </c>
      <c r="AB18" s="28">
        <f>+AA18+AB6+AB11</f>
        <v>372864.82999999996</v>
      </c>
      <c r="AC18" s="28">
        <f>+AB18+AC6+AC11</f>
        <v>422364.82999999996</v>
      </c>
      <c r="AD18" s="28">
        <f>+AC18+AD6+AD11</f>
        <v>473514.82999999996</v>
      </c>
      <c r="AE18" s="28">
        <f t="shared" ref="AE18:AL18" si="14">+AD18+AE6+AE11</f>
        <v>473514.82999999996</v>
      </c>
      <c r="AF18" s="28">
        <f t="shared" si="14"/>
        <v>372236.20999999996</v>
      </c>
      <c r="AG18" s="28">
        <f t="shared" si="14"/>
        <v>254077.81999999995</v>
      </c>
      <c r="AH18" s="28">
        <f t="shared" si="14"/>
        <v>164052.37999999995</v>
      </c>
      <c r="AI18" s="28">
        <f t="shared" si="14"/>
        <v>119039.65999999995</v>
      </c>
      <c r="AJ18" s="28">
        <f t="shared" si="14"/>
        <v>168539.65999999995</v>
      </c>
      <c r="AK18" s="28">
        <f t="shared" si="14"/>
        <v>219689.65999999995</v>
      </c>
      <c r="AL18" s="28">
        <f t="shared" si="14"/>
        <v>269189.65999999992</v>
      </c>
    </row>
    <row r="19" spans="1:38" s="24" customFormat="1">
      <c r="A19" s="35" t="s">
        <v>349</v>
      </c>
      <c r="B19" s="188">
        <v>1910742.6343655614</v>
      </c>
      <c r="C19" s="397">
        <f>B19+C8+C13</f>
        <v>2258960.9858023557</v>
      </c>
      <c r="D19" s="397">
        <f t="shared" ref="D19:I19" si="15">C19+D8+D13</f>
        <v>2295998.3115634522</v>
      </c>
      <c r="E19" s="397">
        <f t="shared" si="15"/>
        <v>2484067.270170935</v>
      </c>
      <c r="F19" s="397">
        <f t="shared" si="15"/>
        <v>2688231.7690351857</v>
      </c>
      <c r="G19" s="397">
        <f t="shared" si="15"/>
        <v>2698201.1900351858</v>
      </c>
      <c r="H19" s="397">
        <f t="shared" si="15"/>
        <v>2086384.2202947412</v>
      </c>
      <c r="I19" s="397">
        <f t="shared" si="15"/>
        <v>1718908.4595632837</v>
      </c>
      <c r="J19" s="26">
        <f>I19+J8+J13</f>
        <v>999791.27621688228</v>
      </c>
      <c r="K19" s="26">
        <f t="shared" ref="K19:AL19" si="16">J19+K8+K13</f>
        <v>953511.8933929489</v>
      </c>
      <c r="L19" s="26">
        <f t="shared" si="16"/>
        <v>883018.09696618805</v>
      </c>
      <c r="M19" s="26">
        <f t="shared" si="16"/>
        <v>1377584.5378112583</v>
      </c>
      <c r="N19" s="26">
        <f t="shared" si="16"/>
        <v>1377584.5378112583</v>
      </c>
      <c r="O19" s="26">
        <f t="shared" si="16"/>
        <v>1585672.0378112583</v>
      </c>
      <c r="P19" s="26">
        <f t="shared" si="16"/>
        <v>1792132.0378112583</v>
      </c>
      <c r="Q19" s="26">
        <f t="shared" si="16"/>
        <v>1975237.0378112583</v>
      </c>
      <c r="R19" s="26">
        <f t="shared" si="16"/>
        <v>2167979.5378112583</v>
      </c>
      <c r="S19" s="26">
        <f t="shared" si="16"/>
        <v>2167979.5378112583</v>
      </c>
      <c r="T19" s="26">
        <f t="shared" si="16"/>
        <v>1705619.8844646686</v>
      </c>
      <c r="U19" s="26">
        <f t="shared" si="16"/>
        <v>1166200.288893647</v>
      </c>
      <c r="V19" s="26">
        <f t="shared" si="16"/>
        <v>755213.93036334484</v>
      </c>
      <c r="W19" s="26">
        <f t="shared" si="16"/>
        <v>549720.75109819381</v>
      </c>
      <c r="X19" s="26">
        <f t="shared" si="16"/>
        <v>770886.75109819381</v>
      </c>
      <c r="Y19" s="26">
        <f t="shared" si="16"/>
        <v>1000754.8510981938</v>
      </c>
      <c r="Z19" s="26">
        <f t="shared" si="16"/>
        <v>1224791.8510981938</v>
      </c>
      <c r="AA19" s="26">
        <f t="shared" si="16"/>
        <v>1458291.6010981938</v>
      </c>
      <c r="AB19" s="26">
        <f t="shared" si="16"/>
        <v>1693018.9510981939</v>
      </c>
      <c r="AC19" s="26">
        <f t="shared" si="16"/>
        <v>1920372.4510981939</v>
      </c>
      <c r="AD19" s="26">
        <f t="shared" si="16"/>
        <v>2156941.2010981939</v>
      </c>
      <c r="AE19" s="26">
        <f t="shared" si="16"/>
        <v>2156941.2010981939</v>
      </c>
      <c r="AF19" s="26">
        <f t="shared" si="16"/>
        <v>1695599.7299802406</v>
      </c>
      <c r="AG19" s="26">
        <f t="shared" si="16"/>
        <v>1157368.0136759616</v>
      </c>
      <c r="AH19" s="26">
        <f t="shared" si="16"/>
        <v>747286.70601555868</v>
      </c>
      <c r="AI19" s="26">
        <f t="shared" si="16"/>
        <v>542246.0521853572</v>
      </c>
      <c r="AJ19" s="26">
        <f t="shared" si="16"/>
        <v>780266.8021853572</v>
      </c>
      <c r="AK19" s="26">
        <f t="shared" si="16"/>
        <v>1026835.3771853573</v>
      </c>
      <c r="AL19" s="26">
        <f t="shared" si="16"/>
        <v>1267182.6271853573</v>
      </c>
    </row>
    <row r="20" spans="1:38">
      <c r="A20" s="4" t="s">
        <v>65</v>
      </c>
      <c r="B20" s="20">
        <f>+B19/B18</f>
        <v>5.2272923693836963</v>
      </c>
      <c r="C20" s="20">
        <f t="shared" ref="C20:O20" si="17">+C19/C18</f>
        <v>5.1681117781959927</v>
      </c>
      <c r="D20" s="20">
        <f t="shared" si="17"/>
        <v>5.1641074287257114</v>
      </c>
      <c r="E20" s="20">
        <f t="shared" si="17"/>
        <v>5.0140633607261211</v>
      </c>
      <c r="F20" s="135">
        <f t="shared" si="17"/>
        <v>4.9090440041693801</v>
      </c>
      <c r="G20" s="20">
        <f t="shared" si="17"/>
        <v>4.9003052746730242</v>
      </c>
      <c r="H20" s="20">
        <f t="shared" si="17"/>
        <v>4.898627463642117</v>
      </c>
      <c r="I20" s="20">
        <f t="shared" si="17"/>
        <v>4.8966868248558795</v>
      </c>
      <c r="J20" s="20">
        <f t="shared" si="17"/>
        <v>4.8873775515817988</v>
      </c>
      <c r="K20" s="20">
        <f t="shared" si="17"/>
        <v>4.8569516623095517</v>
      </c>
      <c r="L20" s="20">
        <f t="shared" si="17"/>
        <v>4.8569516623095517</v>
      </c>
      <c r="M20" s="20">
        <f t="shared" si="17"/>
        <v>4.7439117662841639</v>
      </c>
      <c r="N20" s="20">
        <f t="shared" si="17"/>
        <v>4.7439117662841639</v>
      </c>
      <c r="O20" s="20">
        <f t="shared" si="17"/>
        <v>4.7067946148928685</v>
      </c>
      <c r="P20" s="20">
        <f t="shared" ref="P20:AA20" si="18">+P19/P18</f>
        <v>4.6744360515695726</v>
      </c>
      <c r="Q20" s="20">
        <f t="shared" si="18"/>
        <v>4.6108383431248594</v>
      </c>
      <c r="R20" s="135">
        <f t="shared" si="18"/>
        <v>4.5652246579444888</v>
      </c>
      <c r="S20" s="20">
        <f t="shared" si="18"/>
        <v>4.5652246579444888</v>
      </c>
      <c r="T20" s="20">
        <f t="shared" si="18"/>
        <v>4.5652246579444888</v>
      </c>
      <c r="U20" s="20">
        <f t="shared" si="18"/>
        <v>4.5652246579444897</v>
      </c>
      <c r="V20" s="20">
        <f t="shared" si="18"/>
        <v>4.5652246579444888</v>
      </c>
      <c r="W20" s="20">
        <f t="shared" si="18"/>
        <v>4.5652246579444897</v>
      </c>
      <c r="X20" s="20">
        <f t="shared" si="18"/>
        <v>4.5369009350048719</v>
      </c>
      <c r="Y20" s="20">
        <f t="shared" si="18"/>
        <v>4.526974512853057</v>
      </c>
      <c r="Z20" s="20">
        <f t="shared" si="18"/>
        <v>4.5267962251346336</v>
      </c>
      <c r="AA20" s="20">
        <f t="shared" si="18"/>
        <v>4.5328703097031431</v>
      </c>
      <c r="AB20" s="20">
        <f t="shared" ref="AB20:AL20" si="19">+AB19/AB18</f>
        <v>4.5405702412270799</v>
      </c>
      <c r="AC20" s="20">
        <f t="shared" si="19"/>
        <v>4.5467148651988714</v>
      </c>
      <c r="AD20" s="135">
        <f t="shared" si="19"/>
        <v>4.5551713788947099</v>
      </c>
      <c r="AE20" s="20">
        <f t="shared" si="19"/>
        <v>4.5551713788947099</v>
      </c>
      <c r="AF20" s="20">
        <f t="shared" si="19"/>
        <v>4.5551713788947099</v>
      </c>
      <c r="AG20" s="20">
        <f t="shared" si="19"/>
        <v>4.5551713788947099</v>
      </c>
      <c r="AH20" s="20">
        <f t="shared" si="19"/>
        <v>4.5551713788947099</v>
      </c>
      <c r="AI20" s="20">
        <f t="shared" si="19"/>
        <v>4.5551713788947099</v>
      </c>
      <c r="AJ20" s="20">
        <f t="shared" si="19"/>
        <v>4.6295738473980395</v>
      </c>
      <c r="AK20" s="20">
        <f t="shared" si="19"/>
        <v>4.6740268849492397</v>
      </c>
      <c r="AL20" s="20">
        <f t="shared" si="19"/>
        <v>4.7073971087349999</v>
      </c>
    </row>
    <row r="21" spans="1:38" s="24" customFormat="1">
      <c r="A21" s="35"/>
      <c r="B21" s="21"/>
      <c r="C21" s="21"/>
      <c r="D21" s="21"/>
      <c r="E21" s="21"/>
      <c r="F21" s="182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82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182"/>
      <c r="AE21" s="21"/>
      <c r="AF21" s="21"/>
      <c r="AG21" s="21"/>
      <c r="AH21" s="21"/>
      <c r="AI21" s="21"/>
      <c r="AJ21" s="21"/>
      <c r="AK21" s="21"/>
      <c r="AL21" s="21"/>
    </row>
    <row r="22" spans="1:38" s="28" customFormat="1">
      <c r="A22" s="31" t="s">
        <v>451</v>
      </c>
      <c r="B22" s="132">
        <v>365532</v>
      </c>
      <c r="C22" s="132">
        <v>437096</v>
      </c>
      <c r="D22" s="132">
        <v>444607</v>
      </c>
      <c r="E22" s="132">
        <v>495420</v>
      </c>
      <c r="F22" s="132">
        <v>556311</v>
      </c>
      <c r="G22" s="132">
        <v>559322</v>
      </c>
      <c r="H22" s="132">
        <v>434615</v>
      </c>
      <c r="I22" s="132">
        <v>359738</v>
      </c>
      <c r="J22" s="132">
        <v>213269</v>
      </c>
      <c r="K22" s="439">
        <v>205022</v>
      </c>
      <c r="L22" s="439">
        <v>190508</v>
      </c>
      <c r="M22" s="439">
        <v>299093</v>
      </c>
      <c r="N22" s="439">
        <v>299093</v>
      </c>
      <c r="R22" s="131"/>
      <c r="AD22" s="131"/>
    </row>
    <row r="23" spans="1:38" s="39" customFormat="1">
      <c r="A23" s="112" t="s">
        <v>449</v>
      </c>
      <c r="B23" s="188">
        <v>1910742.6343655614</v>
      </c>
      <c r="C23" s="188">
        <v>2264351.3111655614</v>
      </c>
      <c r="D23" s="188">
        <v>2302053.6711655613</v>
      </c>
      <c r="E23" s="188">
        <v>2498994.9</v>
      </c>
      <c r="F23" s="188">
        <v>2754504.9461424225</v>
      </c>
      <c r="G23" s="188">
        <v>2766026.9361424227</v>
      </c>
      <c r="H23" s="188">
        <v>2148017.4339426542</v>
      </c>
      <c r="I23" s="188">
        <v>1776905.9992839717</v>
      </c>
      <c r="J23" s="188">
        <v>1050797.7541317553</v>
      </c>
      <c r="K23" s="437">
        <v>1005773.0774737647</v>
      </c>
      <c r="L23" s="437">
        <v>934571.86673541716</v>
      </c>
      <c r="M23" s="437">
        <v>1418242.0367354171</v>
      </c>
      <c r="N23" s="437">
        <v>1418242.0367354171</v>
      </c>
      <c r="R23" s="199"/>
      <c r="AD23" s="199"/>
    </row>
    <row r="24" spans="1:38">
      <c r="A24" s="1" t="s">
        <v>746</v>
      </c>
      <c r="B24" s="229">
        <f t="shared" ref="B24:I24" si="20">B23/B22</f>
        <v>5.2272923693836963</v>
      </c>
      <c r="C24" s="229">
        <f t="shared" si="20"/>
        <v>5.1804439097259216</v>
      </c>
      <c r="D24" s="229">
        <f t="shared" si="20"/>
        <v>5.1777270064698966</v>
      </c>
      <c r="E24" s="229">
        <f t="shared" si="20"/>
        <v>5.0441946227443379</v>
      </c>
      <c r="F24" s="229">
        <f t="shared" si="20"/>
        <v>4.9513760219417238</v>
      </c>
      <c r="G24" s="229">
        <f t="shared" si="20"/>
        <v>4.9453211855468275</v>
      </c>
      <c r="H24" s="229">
        <f t="shared" si="20"/>
        <v>4.9423453722090915</v>
      </c>
      <c r="I24" s="229">
        <f t="shared" si="20"/>
        <v>4.9394448161828102</v>
      </c>
      <c r="J24" s="229"/>
      <c r="K24" s="229"/>
      <c r="L24" s="229"/>
      <c r="M24" s="20"/>
      <c r="N24" s="20"/>
      <c r="O24" s="20"/>
      <c r="P24" s="20"/>
      <c r="Q24" s="20"/>
      <c r="R24" s="182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182"/>
      <c r="AE24" s="20"/>
      <c r="AF24" s="20"/>
      <c r="AG24" s="20"/>
      <c r="AH24" s="20"/>
      <c r="AI24" s="20"/>
      <c r="AJ24" s="20"/>
      <c r="AK24" s="20"/>
      <c r="AL24" s="20"/>
    </row>
    <row r="25" spans="1:38" s="29" customFormat="1">
      <c r="A25" s="1"/>
      <c r="R25" s="207"/>
      <c r="AD25" s="207"/>
    </row>
    <row r="26" spans="1:38" s="108" customFormat="1">
      <c r="A26" s="105" t="s">
        <v>452</v>
      </c>
      <c r="B26" s="108">
        <f t="shared" ref="B26:C28" si="21">B18-B22</f>
        <v>0</v>
      </c>
      <c r="C26" s="108">
        <f t="shared" si="21"/>
        <v>0</v>
      </c>
      <c r="D26" s="108">
        <f t="shared" ref="D26:E28" si="22">D18-D22</f>
        <v>0</v>
      </c>
      <c r="E26" s="108">
        <f t="shared" si="22"/>
        <v>0</v>
      </c>
      <c r="F26" s="108">
        <f t="shared" ref="F26:H28" si="23">F18-F22</f>
        <v>-8703</v>
      </c>
      <c r="G26" s="108">
        <f t="shared" si="23"/>
        <v>-8703</v>
      </c>
      <c r="H26" s="108">
        <f t="shared" si="23"/>
        <v>-8703</v>
      </c>
      <c r="I26" s="108">
        <f t="shared" ref="I26:K28" si="24">I18-I22</f>
        <v>-8703</v>
      </c>
      <c r="J26" s="108">
        <f t="shared" si="24"/>
        <v>-8703</v>
      </c>
      <c r="K26" s="108">
        <f t="shared" si="24"/>
        <v>-8703</v>
      </c>
      <c r="L26" s="108">
        <f t="shared" ref="L26:M28" si="25">L18-L22</f>
        <v>-8703</v>
      </c>
      <c r="M26" s="108">
        <f t="shared" si="25"/>
        <v>-8703</v>
      </c>
      <c r="N26" s="108">
        <f t="shared" ref="N26" si="26">N18-N22</f>
        <v>-8703</v>
      </c>
    </row>
    <row r="27" spans="1:38" s="22" customFormat="1">
      <c r="A27" s="112" t="s">
        <v>453</v>
      </c>
      <c r="B27" s="32">
        <f t="shared" si="21"/>
        <v>0</v>
      </c>
      <c r="C27" s="30">
        <f t="shared" si="21"/>
        <v>-5390.3253632057458</v>
      </c>
      <c r="D27" s="30">
        <f t="shared" si="22"/>
        <v>-6055.3596021090634</v>
      </c>
      <c r="E27" s="30">
        <f t="shared" si="22"/>
        <v>-14927.629829064943</v>
      </c>
      <c r="F27" s="30">
        <f t="shared" si="23"/>
        <v>-66273.177107236814</v>
      </c>
      <c r="G27" s="30">
        <f t="shared" si="23"/>
        <v>-67825.746107236948</v>
      </c>
      <c r="H27" s="30">
        <f t="shared" si="23"/>
        <v>-61633.213647912955</v>
      </c>
      <c r="I27" s="30">
        <f t="shared" si="24"/>
        <v>-57997.539720688015</v>
      </c>
      <c r="J27" s="30">
        <f t="shared" si="24"/>
        <v>-51006.477914873045</v>
      </c>
      <c r="K27" s="30">
        <f>K19-K23</f>
        <v>-52261.184080815758</v>
      </c>
      <c r="L27" s="30">
        <f t="shared" si="25"/>
        <v>-51553.769769229111</v>
      </c>
      <c r="M27" s="30">
        <f t="shared" si="25"/>
        <v>-40657.498924158746</v>
      </c>
      <c r="N27" s="30">
        <f t="shared" ref="N27" si="27">N19-N23</f>
        <v>-40657.498924158746</v>
      </c>
    </row>
    <row r="28" spans="1:38">
      <c r="A28" s="198" t="s">
        <v>747</v>
      </c>
      <c r="B28" s="29">
        <f t="shared" si="21"/>
        <v>0</v>
      </c>
      <c r="C28" s="29">
        <f t="shared" si="21"/>
        <v>-1.2332131529928958E-2</v>
      </c>
      <c r="D28" s="29">
        <f t="shared" si="22"/>
        <v>-1.3619577744185207E-2</v>
      </c>
      <c r="E28" s="29">
        <f t="shared" si="22"/>
        <v>-3.0131262018216809E-2</v>
      </c>
      <c r="F28" s="29">
        <f t="shared" si="23"/>
        <v>-4.2332017772343633E-2</v>
      </c>
      <c r="G28" s="29">
        <f t="shared" si="23"/>
        <v>-4.50159108738033E-2</v>
      </c>
      <c r="H28" s="29">
        <f t="shared" si="23"/>
        <v>-4.371790856697455E-2</v>
      </c>
      <c r="I28" s="29">
        <f t="shared" si="24"/>
        <v>-4.27579913269307E-2</v>
      </c>
      <c r="J28" s="29">
        <f t="shared" si="24"/>
        <v>4.8873775515817988</v>
      </c>
      <c r="K28" s="29">
        <f>K20-K24</f>
        <v>4.8569516623095517</v>
      </c>
      <c r="L28" s="29">
        <f t="shared" si="25"/>
        <v>4.8569516623095517</v>
      </c>
      <c r="M28" s="29">
        <f t="shared" si="25"/>
        <v>4.7439117662841639</v>
      </c>
      <c r="N28" s="29">
        <f t="shared" ref="N28" si="28">N20-N24</f>
        <v>4.7439117662841639</v>
      </c>
    </row>
    <row r="29" spans="1:38">
      <c r="A29" s="198"/>
      <c r="B29" s="29"/>
    </row>
    <row r="30" spans="1:38" s="22" customFormat="1">
      <c r="A30" s="31" t="s">
        <v>288</v>
      </c>
      <c r="C30" s="132">
        <v>437096</v>
      </c>
      <c r="D30" s="132">
        <v>444607</v>
      </c>
      <c r="E30" s="132">
        <v>495420</v>
      </c>
      <c r="F30" s="132">
        <v>556311</v>
      </c>
      <c r="G30" s="132">
        <v>559322</v>
      </c>
      <c r="H30" s="132">
        <v>434615</v>
      </c>
      <c r="I30" s="132">
        <v>359738</v>
      </c>
      <c r="J30" s="132">
        <v>213269</v>
      </c>
      <c r="K30" s="439">
        <v>205022</v>
      </c>
      <c r="L30" s="439">
        <v>190508</v>
      </c>
      <c r="M30" s="439">
        <v>299093</v>
      </c>
      <c r="N30" s="439">
        <v>299093</v>
      </c>
    </row>
    <row r="31" spans="1:38">
      <c r="A31" s="1" t="s">
        <v>287</v>
      </c>
      <c r="B31" s="22"/>
      <c r="C31" s="108">
        <f t="shared" ref="C31:N31" si="29">C30-C18</f>
        <v>0</v>
      </c>
      <c r="D31" s="108">
        <f t="shared" si="29"/>
        <v>0</v>
      </c>
      <c r="E31" s="108">
        <f t="shared" si="29"/>
        <v>0</v>
      </c>
      <c r="F31" s="108">
        <f t="shared" si="29"/>
        <v>8703</v>
      </c>
      <c r="G31" s="108">
        <f t="shared" si="29"/>
        <v>8703</v>
      </c>
      <c r="H31" s="108">
        <f t="shared" si="29"/>
        <v>8703</v>
      </c>
      <c r="I31" s="108">
        <f t="shared" si="29"/>
        <v>8703</v>
      </c>
      <c r="J31" s="108">
        <f t="shared" si="29"/>
        <v>8703</v>
      </c>
      <c r="K31" s="108">
        <f t="shared" si="29"/>
        <v>8703</v>
      </c>
      <c r="L31" s="108">
        <f t="shared" si="29"/>
        <v>8703</v>
      </c>
      <c r="M31" s="108">
        <f t="shared" si="29"/>
        <v>8703</v>
      </c>
      <c r="N31" s="108">
        <f t="shared" si="29"/>
        <v>8703</v>
      </c>
    </row>
  </sheetData>
  <phoneticPr fontId="0" type="noConversion"/>
  <printOptions gridLines="1" gridLinesSet="0"/>
  <pageMargins left="0.75" right="0.75" top="1" bottom="1" header="0.5" footer="0.5"/>
  <pageSetup scale="16" orientation="landscape" horizontalDpi="4294967294" verticalDpi="300" r:id="rId1"/>
  <headerFooter alignWithMargins="0">
    <oddHeader>&amp;A</oddHeader>
    <oddFooter>96BUD.XLW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:AN31"/>
  <sheetViews>
    <sheetView zoomScale="50" workbookViewId="0">
      <pane xSplit="1" ySplit="4" topLeftCell="H5" activePane="bottomRight" state="frozen"/>
      <selection activeCell="AA2" sqref="AA2"/>
      <selection pane="topRight" activeCell="AA2" sqref="AA2"/>
      <selection pane="bottomLeft" activeCell="AA2" sqref="AA2"/>
      <selection pane="bottomRight" activeCell="N22" sqref="N22:N23"/>
    </sheetView>
  </sheetViews>
  <sheetFormatPr defaultRowHeight="20.25"/>
  <cols>
    <col min="1" max="1" width="41.21875" style="4" bestFit="1" customWidth="1"/>
    <col min="2" max="2" width="17" style="10" bestFit="1" customWidth="1"/>
    <col min="3" max="4" width="18" style="10" bestFit="1" customWidth="1"/>
    <col min="5" max="7" width="14.33203125" style="10" bestFit="1" customWidth="1"/>
    <col min="8" max="10" width="15.44140625" style="10" bestFit="1" customWidth="1"/>
    <col min="11" max="12" width="14.33203125" style="10" bestFit="1" customWidth="1"/>
    <col min="13" max="14" width="13.44140625" style="10" bestFit="1" customWidth="1"/>
    <col min="15" max="15" width="14.33203125" style="10" bestFit="1" customWidth="1"/>
    <col min="16" max="19" width="13.44140625" style="10" bestFit="1" customWidth="1"/>
    <col min="20" max="22" width="15.44140625" style="10" bestFit="1" customWidth="1"/>
    <col min="23" max="26" width="13.44140625" style="10" bestFit="1" customWidth="1"/>
    <col min="27" max="27" width="14.33203125" style="10" customWidth="1"/>
    <col min="28" max="31" width="13.44140625" style="10" bestFit="1" customWidth="1"/>
    <col min="32" max="34" width="15.44140625" style="10" bestFit="1" customWidth="1"/>
    <col min="35" max="38" width="13.44140625" style="10" bestFit="1" customWidth="1"/>
    <col min="39" max="39" width="14.33203125" style="10" bestFit="1" customWidth="1"/>
    <col min="40" max="40" width="10.109375" style="10" bestFit="1" customWidth="1"/>
    <col min="41" max="16384" width="8.88671875" style="10"/>
  </cols>
  <sheetData>
    <row r="1" spans="1:40">
      <c r="C1" s="13" t="s">
        <v>55</v>
      </c>
      <c r="D1" s="28">
        <v>600000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13" t="s">
        <v>55</v>
      </c>
      <c r="P1" s="28">
        <v>600000</v>
      </c>
      <c r="AA1" s="13" t="s">
        <v>55</v>
      </c>
      <c r="AB1" s="28">
        <v>600000</v>
      </c>
      <c r="AM1" s="13" t="s">
        <v>55</v>
      </c>
      <c r="AN1" s="28">
        <v>600000</v>
      </c>
    </row>
    <row r="2" spans="1:40">
      <c r="C2" s="131" t="s">
        <v>759</v>
      </c>
      <c r="D2" s="132">
        <v>1200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131" t="s">
        <v>760</v>
      </c>
      <c r="P2" s="132">
        <v>1900</v>
      </c>
      <c r="AA2" s="131" t="s">
        <v>871</v>
      </c>
      <c r="AB2" s="132">
        <v>1750</v>
      </c>
      <c r="AM2" s="131" t="s">
        <v>903</v>
      </c>
      <c r="AN2" s="132">
        <v>1750</v>
      </c>
    </row>
    <row r="3" spans="1:40">
      <c r="A3" s="4" t="s">
        <v>1</v>
      </c>
      <c r="B3" s="10">
        <v>30</v>
      </c>
      <c r="C3" s="24">
        <v>31</v>
      </c>
      <c r="D3" s="24">
        <v>31</v>
      </c>
      <c r="E3" s="24">
        <v>30</v>
      </c>
      <c r="F3" s="24">
        <v>31</v>
      </c>
      <c r="G3" s="24"/>
      <c r="H3" s="24"/>
      <c r="I3" s="24"/>
      <c r="J3" s="24"/>
      <c r="K3" s="24"/>
      <c r="L3" s="24">
        <v>30</v>
      </c>
      <c r="M3" s="24">
        <v>31</v>
      </c>
      <c r="N3" s="24">
        <v>30</v>
      </c>
      <c r="O3" s="24">
        <v>31</v>
      </c>
      <c r="P3" s="24">
        <v>31</v>
      </c>
      <c r="Q3" s="10">
        <v>30</v>
      </c>
      <c r="R3" s="10">
        <v>31</v>
      </c>
      <c r="X3" s="10">
        <v>30</v>
      </c>
      <c r="Y3" s="10">
        <v>31</v>
      </c>
      <c r="Z3" s="10">
        <v>30</v>
      </c>
      <c r="AA3" s="10">
        <v>31</v>
      </c>
      <c r="AB3" s="10">
        <v>31</v>
      </c>
      <c r="AC3" s="10">
        <v>30</v>
      </c>
      <c r="AD3" s="10">
        <v>31</v>
      </c>
      <c r="AJ3" s="10">
        <v>30</v>
      </c>
      <c r="AK3" s="10">
        <v>31</v>
      </c>
      <c r="AL3" s="10">
        <v>30</v>
      </c>
      <c r="AM3" s="10">
        <v>31</v>
      </c>
    </row>
    <row r="4" spans="1:40">
      <c r="B4" s="46">
        <v>40330</v>
      </c>
      <c r="C4" s="46">
        <v>40360</v>
      </c>
      <c r="D4" s="46">
        <v>40391</v>
      </c>
      <c r="E4" s="46">
        <v>40422</v>
      </c>
      <c r="F4" s="46">
        <v>40452</v>
      </c>
      <c r="G4" s="46">
        <v>40483</v>
      </c>
      <c r="H4" s="46">
        <v>40513</v>
      </c>
      <c r="I4" s="46">
        <v>40544</v>
      </c>
      <c r="J4" s="46">
        <v>40575</v>
      </c>
      <c r="K4" s="46">
        <v>40603</v>
      </c>
      <c r="L4" s="46">
        <v>40634</v>
      </c>
      <c r="M4" s="46">
        <v>40664</v>
      </c>
      <c r="N4" s="46">
        <v>40695</v>
      </c>
      <c r="O4" s="46">
        <v>40725</v>
      </c>
      <c r="P4" s="46">
        <v>40756</v>
      </c>
      <c r="Q4" s="46">
        <v>40787</v>
      </c>
      <c r="R4" s="46">
        <v>40817</v>
      </c>
      <c r="S4" s="46">
        <v>40848</v>
      </c>
      <c r="T4" s="46">
        <v>40878</v>
      </c>
      <c r="U4" s="46">
        <v>40909</v>
      </c>
      <c r="V4" s="46">
        <v>40940</v>
      </c>
      <c r="W4" s="46">
        <v>40969</v>
      </c>
      <c r="X4" s="46">
        <v>41000</v>
      </c>
      <c r="Y4" s="46">
        <v>41030</v>
      </c>
      <c r="Z4" s="46">
        <v>41061</v>
      </c>
      <c r="AA4" s="46">
        <v>41091</v>
      </c>
      <c r="AB4" s="46">
        <v>41122</v>
      </c>
      <c r="AC4" s="46">
        <v>41153</v>
      </c>
      <c r="AD4" s="46">
        <v>41183</v>
      </c>
      <c r="AE4" s="46">
        <v>41214</v>
      </c>
      <c r="AF4" s="46">
        <v>41244</v>
      </c>
      <c r="AG4" s="46">
        <v>41275</v>
      </c>
      <c r="AH4" s="46">
        <v>41306</v>
      </c>
      <c r="AI4" s="46">
        <v>41334</v>
      </c>
      <c r="AJ4" s="46">
        <v>41365</v>
      </c>
      <c r="AK4" s="46">
        <v>41395</v>
      </c>
      <c r="AL4" s="46">
        <v>41426</v>
      </c>
      <c r="AM4" s="46">
        <v>41456</v>
      </c>
    </row>
    <row r="5" spans="1:40">
      <c r="A5" s="4" t="s">
        <v>346</v>
      </c>
      <c r="B5" s="46"/>
      <c r="C5" s="28">
        <f>$D$2*C3</f>
        <v>37200</v>
      </c>
      <c r="D5" s="28">
        <f>$D$2*D3</f>
        <v>37200</v>
      </c>
      <c r="E5" s="28">
        <f>$D$2*E3</f>
        <v>36000</v>
      </c>
      <c r="F5" s="28">
        <f>$D$2*F3</f>
        <v>37200</v>
      </c>
      <c r="G5" s="55"/>
      <c r="H5" s="55"/>
      <c r="I5" s="55"/>
      <c r="J5" s="55"/>
      <c r="K5" s="55"/>
      <c r="L5" s="28">
        <f>$P$2*L3</f>
        <v>57000</v>
      </c>
      <c r="M5" s="28">
        <f t="shared" ref="M5:R5" si="0">$P$2*M3</f>
        <v>58900</v>
      </c>
      <c r="N5" s="28">
        <f t="shared" si="0"/>
        <v>57000</v>
      </c>
      <c r="O5" s="28">
        <f t="shared" si="0"/>
        <v>58900</v>
      </c>
      <c r="P5" s="28">
        <f t="shared" si="0"/>
        <v>58900</v>
      </c>
      <c r="Q5" s="28">
        <f t="shared" si="0"/>
        <v>57000</v>
      </c>
      <c r="R5" s="28">
        <f t="shared" si="0"/>
        <v>58900</v>
      </c>
      <c r="S5" s="55"/>
      <c r="T5" s="55"/>
      <c r="U5" s="55"/>
      <c r="V5" s="55"/>
      <c r="W5" s="55"/>
      <c r="X5" s="28">
        <f>$AB$2*X3</f>
        <v>52500</v>
      </c>
      <c r="Y5" s="28">
        <f t="shared" ref="Y5:AD5" si="1">$AB$2*Y3</f>
        <v>54250</v>
      </c>
      <c r="Z5" s="28">
        <f t="shared" si="1"/>
        <v>52500</v>
      </c>
      <c r="AA5" s="28">
        <f t="shared" si="1"/>
        <v>54250</v>
      </c>
      <c r="AB5" s="28">
        <f t="shared" si="1"/>
        <v>54250</v>
      </c>
      <c r="AC5" s="28">
        <f t="shared" si="1"/>
        <v>52500</v>
      </c>
      <c r="AD5" s="28">
        <f t="shared" si="1"/>
        <v>54250</v>
      </c>
      <c r="AE5" s="55"/>
      <c r="AF5" s="55"/>
      <c r="AG5" s="55"/>
      <c r="AH5" s="55"/>
      <c r="AI5" s="55"/>
      <c r="AJ5" s="28">
        <f>$AB$2*AJ3</f>
        <v>52500</v>
      </c>
      <c r="AK5" s="28">
        <f>$AB$2*AK3</f>
        <v>54250</v>
      </c>
      <c r="AL5" s="28">
        <f>$AB$2*AL3</f>
        <v>52500</v>
      </c>
      <c r="AM5" s="28">
        <f>$AB$2*AM3</f>
        <v>54250</v>
      </c>
    </row>
    <row r="6" spans="1:40" s="195" customFormat="1">
      <c r="A6" s="225" t="s">
        <v>196</v>
      </c>
      <c r="C6" s="132">
        <v>18548</v>
      </c>
      <c r="D6" s="132">
        <v>34138</v>
      </c>
      <c r="E6" s="132">
        <v>44491</v>
      </c>
      <c r="F6" s="132">
        <v>68084</v>
      </c>
      <c r="G6" s="132">
        <v>0</v>
      </c>
      <c r="H6" s="421">
        <v>952</v>
      </c>
      <c r="I6" s="132">
        <v>0</v>
      </c>
      <c r="J6" s="132">
        <v>1226</v>
      </c>
      <c r="K6" s="439">
        <v>0</v>
      </c>
      <c r="L6" s="439">
        <v>76660</v>
      </c>
      <c r="M6" s="439">
        <v>0</v>
      </c>
      <c r="N6" s="439">
        <v>75544</v>
      </c>
      <c r="O6" s="195">
        <f t="shared" ref="O6:R6" si="2">O5</f>
        <v>58900</v>
      </c>
      <c r="P6" s="195">
        <f t="shared" si="2"/>
        <v>58900</v>
      </c>
      <c r="Q6" s="195">
        <f t="shared" si="2"/>
        <v>57000</v>
      </c>
      <c r="R6" s="195">
        <f t="shared" si="2"/>
        <v>58900</v>
      </c>
      <c r="X6" s="195">
        <f t="shared" ref="X6:AD6" si="3">X5</f>
        <v>52500</v>
      </c>
      <c r="Y6" s="195">
        <f t="shared" si="3"/>
        <v>54250</v>
      </c>
      <c r="Z6" s="195">
        <f t="shared" si="3"/>
        <v>52500</v>
      </c>
      <c r="AA6" s="195">
        <f t="shared" si="3"/>
        <v>54250</v>
      </c>
      <c r="AB6" s="195">
        <f t="shared" si="3"/>
        <v>54250</v>
      </c>
      <c r="AC6" s="195">
        <f t="shared" si="3"/>
        <v>52500</v>
      </c>
      <c r="AD6" s="195">
        <f t="shared" si="3"/>
        <v>54250</v>
      </c>
      <c r="AJ6" s="195">
        <f>AJ5</f>
        <v>52500</v>
      </c>
      <c r="AK6" s="195">
        <f>AK5</f>
        <v>54250</v>
      </c>
      <c r="AL6" s="195">
        <f>AL5</f>
        <v>52500</v>
      </c>
      <c r="AM6" s="195">
        <f>AM5</f>
        <v>54250</v>
      </c>
    </row>
    <row r="7" spans="1:40" s="189" customFormat="1">
      <c r="A7" s="223" t="s">
        <v>57</v>
      </c>
      <c r="C7" s="146">
        <f>+'GSS-09'!C7</f>
        <v>4.8658313039628069</v>
      </c>
      <c r="D7" s="146">
        <f>+'GSS-09'!D7</f>
        <v>4.9310778539603763</v>
      </c>
      <c r="E7" s="146">
        <f>+'GSS-09'!E7</f>
        <v>3.7011976975868937</v>
      </c>
      <c r="F7" s="146">
        <f>+'GSS-09'!F7</f>
        <v>3.9120966288083645</v>
      </c>
      <c r="G7" s="146">
        <f>+'GSS-09'!G7</f>
        <v>3.3109999999999999</v>
      </c>
      <c r="H7" s="146">
        <f>+'GSS-09'!H7</f>
        <v>4.6284909529553682</v>
      </c>
      <c r="I7" s="146">
        <f>+'GSS-09'!I7</f>
        <v>4.6194339651476053</v>
      </c>
      <c r="J7" s="146">
        <f>+'GSS-09'!J7</f>
        <v>4.5345033336832365</v>
      </c>
      <c r="K7" s="146">
        <f>+'GSS-09'!K7</f>
        <v>3.7609999999999997</v>
      </c>
      <c r="L7" s="441">
        <f>+'GSS-09'!L7</f>
        <v>4.449844771241831</v>
      </c>
      <c r="M7" s="441">
        <f>+'GSS-09'!M7</f>
        <v>4.5546478873239424</v>
      </c>
      <c r="N7" s="441">
        <f>+'GSS-09'!N7</f>
        <v>4.4789252105002495</v>
      </c>
      <c r="O7" s="189">
        <f>+'GSS-09'!O7</f>
        <v>4.4750000000000005</v>
      </c>
      <c r="P7" s="189">
        <f>+'GSS-09'!P7</f>
        <v>4.4400000000000004</v>
      </c>
      <c r="Q7" s="189">
        <f>+'GSS-09'!Q7</f>
        <v>4.069</v>
      </c>
      <c r="R7" s="189">
        <f>+'GSS-09'!R7</f>
        <v>4.1449999999999996</v>
      </c>
      <c r="X7" s="189">
        <f>+'GSS-09'!X7</f>
        <v>4.468</v>
      </c>
      <c r="Y7" s="189">
        <f>+'GSS-09'!Y7</f>
        <v>4.4939999999999998</v>
      </c>
      <c r="Z7" s="189">
        <f>+'GSS-09'!Z7</f>
        <v>4.5259999999999998</v>
      </c>
      <c r="AA7" s="189">
        <f>+'GSS-09'!AA7</f>
        <v>4.5649999999999995</v>
      </c>
      <c r="AB7" s="189">
        <f>+'GSS-09'!AB7</f>
        <v>4.5889999999999995</v>
      </c>
      <c r="AC7" s="189">
        <f>+'GSS-09'!AC7</f>
        <v>4.593</v>
      </c>
      <c r="AD7" s="189">
        <f>+'GSS-09'!AD7</f>
        <v>4.625</v>
      </c>
      <c r="AJ7" s="189">
        <f>+'GSS-09'!AJ7</f>
        <v>4.8084999999999996</v>
      </c>
      <c r="AK7" s="189">
        <f>+'GSS-09'!AK7</f>
        <v>4.8205</v>
      </c>
      <c r="AL7" s="189">
        <f>+'GSS-09'!AL7</f>
        <v>4.8555000000000001</v>
      </c>
      <c r="AM7" s="189">
        <f>+'GSS-09'!AM7</f>
        <v>0</v>
      </c>
    </row>
    <row r="8" spans="1:40">
      <c r="A8" s="4" t="s">
        <v>58</v>
      </c>
      <c r="B8" s="25"/>
      <c r="C8" s="25">
        <f t="shared" ref="C8:I8" si="4">+C6*C7</f>
        <v>90251.439025902146</v>
      </c>
      <c r="D8" s="25">
        <f t="shared" si="4"/>
        <v>168337.13577849933</v>
      </c>
      <c r="E8" s="25">
        <f t="shared" si="4"/>
        <v>164669.98676333847</v>
      </c>
      <c r="F8" s="25">
        <f t="shared" si="4"/>
        <v>266351.18687578867</v>
      </c>
      <c r="G8" s="25">
        <f t="shared" si="4"/>
        <v>0</v>
      </c>
      <c r="H8" s="30">
        <f t="shared" si="4"/>
        <v>4406.3233872135106</v>
      </c>
      <c r="I8" s="25">
        <f t="shared" si="4"/>
        <v>0</v>
      </c>
      <c r="J8" s="25">
        <f>+J6*J7</f>
        <v>5559.3010870956477</v>
      </c>
      <c r="K8" s="25">
        <f>+K6*K7</f>
        <v>0</v>
      </c>
      <c r="L8" s="25">
        <f t="shared" ref="L8:R8" si="5">+L6*L7</f>
        <v>341125.10016339878</v>
      </c>
      <c r="M8" s="25">
        <f t="shared" si="5"/>
        <v>0</v>
      </c>
      <c r="N8" s="25">
        <f t="shared" si="5"/>
        <v>338355.92610203085</v>
      </c>
      <c r="O8" s="25">
        <f t="shared" si="5"/>
        <v>263577.50000000006</v>
      </c>
      <c r="P8" s="25">
        <f t="shared" si="5"/>
        <v>261516.00000000003</v>
      </c>
      <c r="Q8" s="25">
        <f t="shared" si="5"/>
        <v>231933</v>
      </c>
      <c r="R8" s="25">
        <f t="shared" si="5"/>
        <v>244140.49999999997</v>
      </c>
      <c r="X8" s="25">
        <f t="shared" ref="X8:AD8" si="6">+X6*X7</f>
        <v>234570</v>
      </c>
      <c r="Y8" s="25">
        <f t="shared" si="6"/>
        <v>243799.5</v>
      </c>
      <c r="Z8" s="25">
        <f t="shared" si="6"/>
        <v>237615</v>
      </c>
      <c r="AA8" s="25">
        <f t="shared" si="6"/>
        <v>247651.24999999997</v>
      </c>
      <c r="AB8" s="25">
        <f t="shared" si="6"/>
        <v>248953.24999999997</v>
      </c>
      <c r="AC8" s="25">
        <f t="shared" si="6"/>
        <v>241132.5</v>
      </c>
      <c r="AD8" s="25">
        <f t="shared" si="6"/>
        <v>250906.25</v>
      </c>
      <c r="AJ8" s="25">
        <f>+AJ6*AJ7</f>
        <v>252446.24999999997</v>
      </c>
      <c r="AK8" s="25">
        <f>+AK6*AK7</f>
        <v>261512.125</v>
      </c>
      <c r="AL8" s="25">
        <f>+AL6*AL7</f>
        <v>254913.75</v>
      </c>
      <c r="AM8" s="25">
        <f>+AM6*AM7</f>
        <v>0</v>
      </c>
    </row>
    <row r="9" spans="1:40">
      <c r="A9" s="4" t="s">
        <v>197</v>
      </c>
      <c r="H9" s="150">
        <v>-0.18</v>
      </c>
      <c r="I9" s="150">
        <v>-0.23100000000000001</v>
      </c>
      <c r="J9" s="150">
        <v>-0.189</v>
      </c>
      <c r="K9" s="150">
        <v>-2.5000000000000001E-2</v>
      </c>
      <c r="T9" s="150">
        <v>-0.18</v>
      </c>
      <c r="U9" s="150">
        <v>-0.23100000000000001</v>
      </c>
      <c r="V9" s="150">
        <v>-0.189</v>
      </c>
      <c r="W9" s="150">
        <v>-2.5000000000000001E-2</v>
      </c>
      <c r="AF9" s="150">
        <v>-0.18</v>
      </c>
      <c r="AG9" s="150">
        <v>-0.23100000000000001</v>
      </c>
      <c r="AH9" s="150">
        <v>-0.189</v>
      </c>
      <c r="AI9" s="150">
        <v>-2.5000000000000001E-2</v>
      </c>
    </row>
    <row r="10" spans="1:40">
      <c r="A10" s="4" t="s">
        <v>347</v>
      </c>
      <c r="H10" s="108">
        <f>H9*$D$1</f>
        <v>-108000</v>
      </c>
      <c r="I10" s="108">
        <f>I9*$D$1</f>
        <v>-138600</v>
      </c>
      <c r="J10" s="108">
        <f>J9*$D$1</f>
        <v>-113400</v>
      </c>
      <c r="K10" s="108">
        <f>K9*$D$1</f>
        <v>-15000</v>
      </c>
      <c r="T10" s="107">
        <f>$P$1*T9</f>
        <v>-108000</v>
      </c>
      <c r="U10" s="107">
        <f>$P$1*U9</f>
        <v>-138600</v>
      </c>
      <c r="V10" s="107">
        <f>$P$1*V9</f>
        <v>-113400</v>
      </c>
      <c r="W10" s="107">
        <f>$P$1*W9</f>
        <v>-15000</v>
      </c>
      <c r="AF10" s="107">
        <f>$AB$1*AF9</f>
        <v>-108000</v>
      </c>
      <c r="AG10" s="107">
        <f>$AB$1*AG9</f>
        <v>-138600</v>
      </c>
      <c r="AH10" s="107">
        <f>$AB$1*AH9</f>
        <v>-113400</v>
      </c>
      <c r="AI10" s="107">
        <f>$AB$1*AI9</f>
        <v>-15000</v>
      </c>
    </row>
    <row r="11" spans="1:40" s="227" customFormat="1">
      <c r="A11" s="225" t="s">
        <v>198</v>
      </c>
      <c r="G11" s="421">
        <v>-10900</v>
      </c>
      <c r="H11" s="421">
        <v>-134363</v>
      </c>
      <c r="I11" s="421">
        <v>-87159</v>
      </c>
      <c r="J11" s="421">
        <v>-39835</v>
      </c>
      <c r="K11" s="438">
        <v>-115292</v>
      </c>
      <c r="L11" s="438">
        <v>-10000</v>
      </c>
      <c r="M11" s="473">
        <v>0</v>
      </c>
      <c r="T11" s="196">
        <f>T10</f>
        <v>-108000</v>
      </c>
      <c r="U11" s="196">
        <f>U10</f>
        <v>-138600</v>
      </c>
      <c r="V11" s="196">
        <f>V10</f>
        <v>-113400</v>
      </c>
      <c r="W11" s="196">
        <f>W10</f>
        <v>-15000</v>
      </c>
      <c r="AF11" s="196">
        <f>AF10</f>
        <v>-108000</v>
      </c>
      <c r="AG11" s="196">
        <f>AG10</f>
        <v>-138600</v>
      </c>
      <c r="AH11" s="196">
        <f>AH10</f>
        <v>-113400</v>
      </c>
      <c r="AI11" s="196">
        <f>AI10</f>
        <v>-15000</v>
      </c>
    </row>
    <row r="12" spans="1:40">
      <c r="A12" s="4" t="s">
        <v>59</v>
      </c>
      <c r="G12" s="20">
        <f t="shared" ref="G12:L12" si="7">+F20</f>
        <v>4.9046628894128972</v>
      </c>
      <c r="H12" s="20">
        <f t="shared" si="7"/>
        <v>4.9046628894128972</v>
      </c>
      <c r="I12" s="20">
        <f t="shared" si="7"/>
        <v>4.90403708519651</v>
      </c>
      <c r="J12" s="20">
        <f t="shared" si="7"/>
        <v>4.9040370851965109</v>
      </c>
      <c r="K12" s="20">
        <f t="shared" si="7"/>
        <v>4.9024979706216492</v>
      </c>
      <c r="L12" s="20">
        <f t="shared" si="7"/>
        <v>4.9024979706216492</v>
      </c>
      <c r="S12" s="20">
        <f>+R20</f>
        <v>4.5218537528158684</v>
      </c>
      <c r="T12" s="20">
        <f>+S20</f>
        <v>4.5218537528158684</v>
      </c>
      <c r="U12" s="20">
        <f>+T20</f>
        <v>4.5218537528158684</v>
      </c>
      <c r="V12" s="20">
        <f>+U20</f>
        <v>4.5218537528158693</v>
      </c>
      <c r="W12" s="20">
        <f>+V20</f>
        <v>4.5218537528158693</v>
      </c>
      <c r="AE12" s="20">
        <f>+AD20</f>
        <v>4.5420415895828929</v>
      </c>
      <c r="AF12" s="20">
        <f>+AE20</f>
        <v>4.5420415895828929</v>
      </c>
      <c r="AG12" s="20">
        <f>+AF20</f>
        <v>4.5420415895828938</v>
      </c>
      <c r="AH12" s="20">
        <f>+AG20</f>
        <v>4.5420415895828929</v>
      </c>
      <c r="AI12" s="20">
        <f>+AH20</f>
        <v>4.5420415895828938</v>
      </c>
    </row>
    <row r="13" spans="1:40">
      <c r="A13" s="4" t="s">
        <v>60</v>
      </c>
      <c r="G13" s="30">
        <f t="shared" ref="G13:L13" si="8">G11*G12</f>
        <v>-53460.825494600576</v>
      </c>
      <c r="H13" s="30">
        <f t="shared" si="8"/>
        <v>-659005.21981018514</v>
      </c>
      <c r="I13" s="30">
        <f t="shared" si="8"/>
        <v>-427430.96830864262</v>
      </c>
      <c r="J13" s="30">
        <f t="shared" si="8"/>
        <v>-195352.31728880302</v>
      </c>
      <c r="K13" s="30">
        <f t="shared" si="8"/>
        <v>-565218.79602891114</v>
      </c>
      <c r="L13" s="30">
        <f t="shared" si="8"/>
        <v>-49024.979706216494</v>
      </c>
      <c r="S13" s="30">
        <f>S11*S12</f>
        <v>0</v>
      </c>
      <c r="T13" s="30">
        <f>T11*T12</f>
        <v>-488360.2053041138</v>
      </c>
      <c r="U13" s="30">
        <f>U11*U12</f>
        <v>-626728.93014027935</v>
      </c>
      <c r="V13" s="30">
        <f>V11*V12</f>
        <v>-512778.21556931955</v>
      </c>
      <c r="W13" s="30">
        <f>W11*W12</f>
        <v>-67827.806292238034</v>
      </c>
      <c r="AE13" s="30">
        <f>AE11*AE12</f>
        <v>0</v>
      </c>
      <c r="AF13" s="30">
        <f>AF11*AF12</f>
        <v>-490540.49167495244</v>
      </c>
      <c r="AG13" s="30">
        <f>AG11*AG12</f>
        <v>-629526.96431618906</v>
      </c>
      <c r="AH13" s="30">
        <f>AH11*AH12</f>
        <v>-515067.51625870005</v>
      </c>
      <c r="AI13" s="30">
        <f>AI11*AI12</f>
        <v>-68130.623843743408</v>
      </c>
    </row>
    <row r="14" spans="1:40" s="22" customFormat="1">
      <c r="A14" s="4" t="s">
        <v>62</v>
      </c>
      <c r="H14" s="108"/>
    </row>
    <row r="15" spans="1:40" s="16" customFormat="1">
      <c r="A15" s="7" t="s">
        <v>63</v>
      </c>
    </row>
    <row r="16" spans="1:40">
      <c r="A16" s="4" t="s">
        <v>64</v>
      </c>
      <c r="H16" s="30"/>
    </row>
    <row r="17" spans="1:38">
      <c r="A17" s="4" t="s">
        <v>350</v>
      </c>
      <c r="B17" s="124">
        <f>B18/D1</f>
        <v>0.66529083333333339</v>
      </c>
      <c r="C17" s="124">
        <f t="shared" ref="C17:N17" si="9">C18/$D$1</f>
        <v>0.69620416666666662</v>
      </c>
      <c r="D17" s="124">
        <f t="shared" si="9"/>
        <v>0.75310083333333333</v>
      </c>
      <c r="E17" s="124">
        <f t="shared" si="9"/>
        <v>0.82725249999999995</v>
      </c>
      <c r="F17" s="134">
        <f t="shared" si="9"/>
        <v>0.94072583333333337</v>
      </c>
      <c r="G17" s="124">
        <f t="shared" si="9"/>
        <v>0.92255916666666671</v>
      </c>
      <c r="H17" s="124">
        <f t="shared" si="9"/>
        <v>0.70020749999999998</v>
      </c>
      <c r="I17" s="124">
        <f t="shared" si="9"/>
        <v>0.55494250000000001</v>
      </c>
      <c r="J17" s="124">
        <f t="shared" si="9"/>
        <v>0.49059416666666666</v>
      </c>
      <c r="K17" s="134">
        <f t="shared" si="9"/>
        <v>0.29844083333333332</v>
      </c>
      <c r="L17" s="124">
        <f t="shared" si="9"/>
        <v>0.40954083333333335</v>
      </c>
      <c r="M17" s="124">
        <f t="shared" si="9"/>
        <v>0.40954083333333335</v>
      </c>
      <c r="N17" s="124">
        <f t="shared" si="9"/>
        <v>0.53544749999999997</v>
      </c>
      <c r="O17" s="124">
        <f>O18/$P$1</f>
        <v>0.6336141666666667</v>
      </c>
      <c r="P17" s="124">
        <f t="shared" ref="P17:AL17" si="10">P18/$P$1</f>
        <v>0.73178083333333332</v>
      </c>
      <c r="Q17" s="124">
        <f t="shared" si="10"/>
        <v>0.8267808333333333</v>
      </c>
      <c r="R17" s="134">
        <f t="shared" si="10"/>
        <v>0.92494750000000003</v>
      </c>
      <c r="S17" s="124">
        <f t="shared" si="10"/>
        <v>0.92494750000000003</v>
      </c>
      <c r="T17" s="124">
        <f t="shared" si="10"/>
        <v>0.74494749999999998</v>
      </c>
      <c r="U17" s="124">
        <f t="shared" si="10"/>
        <v>0.5139475</v>
      </c>
      <c r="V17" s="124">
        <f t="shared" si="10"/>
        <v>0.3249475</v>
      </c>
      <c r="W17" s="134">
        <f t="shared" si="10"/>
        <v>0.29994749999999998</v>
      </c>
      <c r="X17" s="124">
        <f t="shared" si="10"/>
        <v>0.3874475</v>
      </c>
      <c r="Y17" s="124">
        <f t="shared" si="10"/>
        <v>0.47786416666666665</v>
      </c>
      <c r="Z17" s="124">
        <f t="shared" si="10"/>
        <v>0.56536416666666667</v>
      </c>
      <c r="AA17" s="124">
        <f t="shared" si="10"/>
        <v>0.65578083333333337</v>
      </c>
      <c r="AB17" s="124">
        <f t="shared" si="10"/>
        <v>0.74619749999999996</v>
      </c>
      <c r="AC17" s="124">
        <f t="shared" si="10"/>
        <v>0.83369749999999998</v>
      </c>
      <c r="AD17" s="134">
        <f t="shared" si="10"/>
        <v>0.92411416666666668</v>
      </c>
      <c r="AE17" s="124">
        <f t="shared" si="10"/>
        <v>0.92411416666666668</v>
      </c>
      <c r="AF17" s="124">
        <f t="shared" si="10"/>
        <v>0.74411416666666663</v>
      </c>
      <c r="AG17" s="124">
        <f t="shared" si="10"/>
        <v>0.51311416666666665</v>
      </c>
      <c r="AH17" s="124">
        <f t="shared" si="10"/>
        <v>0.32411416666666665</v>
      </c>
      <c r="AI17" s="134">
        <f t="shared" si="10"/>
        <v>0.29911416666666668</v>
      </c>
      <c r="AJ17" s="124">
        <f t="shared" si="10"/>
        <v>0.38661416666666665</v>
      </c>
      <c r="AK17" s="124">
        <f t="shared" si="10"/>
        <v>0.47703083333333335</v>
      </c>
      <c r="AL17" s="124">
        <f t="shared" si="10"/>
        <v>0.56453083333333332</v>
      </c>
    </row>
    <row r="18" spans="1:38">
      <c r="A18" s="4" t="s">
        <v>348</v>
      </c>
      <c r="B18" s="132">
        <v>399174.5</v>
      </c>
      <c r="C18" s="132">
        <f t="shared" ref="C18:N18" si="11">+B18+C6+C11</f>
        <v>417722.5</v>
      </c>
      <c r="D18" s="132">
        <f t="shared" si="11"/>
        <v>451860.5</v>
      </c>
      <c r="E18" s="132">
        <f t="shared" si="11"/>
        <v>496351.5</v>
      </c>
      <c r="F18" s="132">
        <f t="shared" si="11"/>
        <v>564435.5</v>
      </c>
      <c r="G18" s="132">
        <f t="shared" si="11"/>
        <v>553535.5</v>
      </c>
      <c r="H18" s="132">
        <f>+G18+H6+H11+H14</f>
        <v>420124.5</v>
      </c>
      <c r="I18" s="132">
        <f t="shared" si="11"/>
        <v>332965.5</v>
      </c>
      <c r="J18" s="132">
        <f t="shared" si="11"/>
        <v>294356.5</v>
      </c>
      <c r="K18" s="439">
        <f t="shared" si="11"/>
        <v>179064.5</v>
      </c>
      <c r="L18" s="22">
        <f t="shared" si="11"/>
        <v>245724.5</v>
      </c>
      <c r="M18" s="22">
        <f t="shared" si="11"/>
        <v>245724.5</v>
      </c>
      <c r="N18" s="22">
        <f t="shared" si="11"/>
        <v>321268.5</v>
      </c>
      <c r="O18" s="22">
        <f t="shared" ref="O18:Z18" si="12">+N18+O6+O11</f>
        <v>380168.5</v>
      </c>
      <c r="P18" s="22">
        <f t="shared" si="12"/>
        <v>439068.5</v>
      </c>
      <c r="Q18" s="22">
        <f t="shared" si="12"/>
        <v>496068.5</v>
      </c>
      <c r="R18" s="22">
        <f t="shared" si="12"/>
        <v>554968.5</v>
      </c>
      <c r="S18" s="22">
        <f t="shared" si="12"/>
        <v>554968.5</v>
      </c>
      <c r="T18" s="22">
        <f t="shared" si="12"/>
        <v>446968.5</v>
      </c>
      <c r="U18" s="22">
        <f t="shared" si="12"/>
        <v>308368.5</v>
      </c>
      <c r="V18" s="22">
        <f t="shared" si="12"/>
        <v>194968.5</v>
      </c>
      <c r="W18" s="22">
        <f t="shared" si="12"/>
        <v>179968.5</v>
      </c>
      <c r="X18" s="22">
        <f t="shared" si="12"/>
        <v>232468.5</v>
      </c>
      <c r="Y18" s="22">
        <f t="shared" si="12"/>
        <v>286718.5</v>
      </c>
      <c r="Z18" s="22">
        <f t="shared" si="12"/>
        <v>339218.5</v>
      </c>
      <c r="AA18" s="22">
        <f t="shared" ref="AA18:AI18" si="13">+Z18+AA6+AA11</f>
        <v>393468.5</v>
      </c>
      <c r="AB18" s="22">
        <f t="shared" si="13"/>
        <v>447718.5</v>
      </c>
      <c r="AC18" s="22">
        <f t="shared" si="13"/>
        <v>500218.5</v>
      </c>
      <c r="AD18" s="22">
        <f t="shared" si="13"/>
        <v>554468.5</v>
      </c>
      <c r="AE18" s="22">
        <f t="shared" si="13"/>
        <v>554468.5</v>
      </c>
      <c r="AF18" s="22">
        <f t="shared" si="13"/>
        <v>446468.5</v>
      </c>
      <c r="AG18" s="22">
        <f t="shared" si="13"/>
        <v>307868.5</v>
      </c>
      <c r="AH18" s="22">
        <f t="shared" si="13"/>
        <v>194468.5</v>
      </c>
      <c r="AI18" s="22">
        <f t="shared" si="13"/>
        <v>179468.5</v>
      </c>
      <c r="AJ18" s="22">
        <f>+AI18+AJ6+AJ11</f>
        <v>231968.5</v>
      </c>
      <c r="AK18" s="22">
        <f>+AJ18+AK6+AK11</f>
        <v>286218.5</v>
      </c>
      <c r="AL18" s="22">
        <f>+AK18+AL6+AL11</f>
        <v>338718.5</v>
      </c>
    </row>
    <row r="19" spans="1:38" s="32" customFormat="1">
      <c r="A19" s="4" t="s">
        <v>349</v>
      </c>
      <c r="B19" s="188">
        <v>2078756.1018736849</v>
      </c>
      <c r="C19" s="188">
        <f t="shared" ref="C19:N19" si="14">+B19+C8+C13</f>
        <v>2169007.5408995869</v>
      </c>
      <c r="D19" s="188">
        <f t="shared" si="14"/>
        <v>2337344.6766780862</v>
      </c>
      <c r="E19" s="188">
        <f t="shared" si="14"/>
        <v>2502014.6634414247</v>
      </c>
      <c r="F19" s="188">
        <f t="shared" si="14"/>
        <v>2768365.8503172132</v>
      </c>
      <c r="G19" s="188">
        <f t="shared" si="14"/>
        <v>2714905.0248226128</v>
      </c>
      <c r="H19" s="188">
        <f>+G19+H8+H13+H16</f>
        <v>2060306.1283996413</v>
      </c>
      <c r="I19" s="188">
        <f t="shared" si="14"/>
        <v>1632875.1600909987</v>
      </c>
      <c r="J19" s="188">
        <f t="shared" si="14"/>
        <v>1443082.1438892914</v>
      </c>
      <c r="K19" s="437">
        <f t="shared" si="14"/>
        <v>877863.34786038031</v>
      </c>
      <c r="L19" s="32">
        <f t="shared" si="14"/>
        <v>1169963.4683175625</v>
      </c>
      <c r="M19" s="32">
        <f t="shared" si="14"/>
        <v>1169963.4683175625</v>
      </c>
      <c r="N19" s="32">
        <f t="shared" si="14"/>
        <v>1508319.3944195933</v>
      </c>
      <c r="O19" s="32">
        <f t="shared" ref="O19:Z19" si="15">+N19+O8+O13</f>
        <v>1771896.8944195933</v>
      </c>
      <c r="P19" s="32">
        <f t="shared" si="15"/>
        <v>2033412.8944195933</v>
      </c>
      <c r="Q19" s="32">
        <f t="shared" si="15"/>
        <v>2265345.8944195933</v>
      </c>
      <c r="R19" s="32">
        <f t="shared" si="15"/>
        <v>2509486.3944195933</v>
      </c>
      <c r="S19" s="32">
        <f t="shared" si="15"/>
        <v>2509486.3944195933</v>
      </c>
      <c r="T19" s="32">
        <f t="shared" si="15"/>
        <v>2021126.1891154796</v>
      </c>
      <c r="U19" s="32">
        <f t="shared" si="15"/>
        <v>1394397.2589752004</v>
      </c>
      <c r="V19" s="32">
        <f t="shared" si="15"/>
        <v>881619.0434058808</v>
      </c>
      <c r="W19" s="32">
        <f t="shared" si="15"/>
        <v>813791.23711364274</v>
      </c>
      <c r="X19" s="32">
        <f t="shared" si="15"/>
        <v>1048361.2371136427</v>
      </c>
      <c r="Y19" s="32">
        <f t="shared" si="15"/>
        <v>1292160.7371136427</v>
      </c>
      <c r="Z19" s="32">
        <f t="shared" si="15"/>
        <v>1529775.7371136427</v>
      </c>
      <c r="AA19" s="32">
        <f t="shared" ref="AA19:AI19" si="16">+Z19+AA8+AA13</f>
        <v>1777426.9871136427</v>
      </c>
      <c r="AB19" s="32">
        <f t="shared" si="16"/>
        <v>2026380.2371136427</v>
      </c>
      <c r="AC19" s="32">
        <f t="shared" si="16"/>
        <v>2267512.7371136425</v>
      </c>
      <c r="AD19" s="32">
        <f t="shared" si="16"/>
        <v>2518418.9871136425</v>
      </c>
      <c r="AE19" s="32">
        <f t="shared" si="16"/>
        <v>2518418.9871136425</v>
      </c>
      <c r="AF19" s="32">
        <f t="shared" si="16"/>
        <v>2027878.4954386901</v>
      </c>
      <c r="AG19" s="32">
        <f t="shared" si="16"/>
        <v>1398351.531122501</v>
      </c>
      <c r="AH19" s="32">
        <f t="shared" si="16"/>
        <v>883284.01486380096</v>
      </c>
      <c r="AI19" s="32">
        <f t="shared" si="16"/>
        <v>815153.39102005749</v>
      </c>
      <c r="AJ19" s="32">
        <f>+AI19+AJ8+AJ13</f>
        <v>1067599.6410200575</v>
      </c>
      <c r="AK19" s="32">
        <f>+AJ19+AK8+AK13</f>
        <v>1329111.7660200575</v>
      </c>
      <c r="AL19" s="32">
        <f>+AK19+AL8+AL13</f>
        <v>1584025.5160200575</v>
      </c>
    </row>
    <row r="20" spans="1:38">
      <c r="A20" s="4" t="s">
        <v>65</v>
      </c>
      <c r="B20" s="20">
        <f>+B19/B18</f>
        <v>5.2076375166091147</v>
      </c>
      <c r="C20" s="20">
        <f t="shared" ref="C20:O20" si="17">+C19/C18</f>
        <v>5.1924604034965478</v>
      </c>
      <c r="D20" s="20">
        <f t="shared" si="17"/>
        <v>5.172712987034906</v>
      </c>
      <c r="E20" s="20">
        <f t="shared" si="17"/>
        <v>5.0408121330174778</v>
      </c>
      <c r="F20" s="135">
        <f t="shared" si="17"/>
        <v>4.9046628894128972</v>
      </c>
      <c r="G20" s="20">
        <f t="shared" si="17"/>
        <v>4.9046628894128972</v>
      </c>
      <c r="H20" s="20">
        <f t="shared" si="17"/>
        <v>4.90403708519651</v>
      </c>
      <c r="I20" s="20">
        <f t="shared" si="17"/>
        <v>4.9040370851965109</v>
      </c>
      <c r="J20" s="20">
        <f t="shared" si="17"/>
        <v>4.9024979706216492</v>
      </c>
      <c r="K20" s="21">
        <f t="shared" si="17"/>
        <v>4.9024979706216492</v>
      </c>
      <c r="L20" s="20">
        <f t="shared" si="17"/>
        <v>4.7612813061683408</v>
      </c>
      <c r="M20" s="20">
        <f t="shared" si="17"/>
        <v>4.7612813061683408</v>
      </c>
      <c r="N20" s="20">
        <f t="shared" si="17"/>
        <v>4.694887280949092</v>
      </c>
      <c r="O20" s="20">
        <f t="shared" si="17"/>
        <v>4.6608198586142544</v>
      </c>
      <c r="P20" s="20">
        <f t="shared" ref="P20:Z20" si="18">+P19/P18</f>
        <v>4.6311973972616878</v>
      </c>
      <c r="Q20" s="20">
        <f t="shared" si="18"/>
        <v>4.5665989564336238</v>
      </c>
      <c r="R20" s="135">
        <f t="shared" si="18"/>
        <v>4.5218537528158684</v>
      </c>
      <c r="S20" s="20">
        <f t="shared" si="18"/>
        <v>4.5218537528158684</v>
      </c>
      <c r="T20" s="20">
        <f t="shared" si="18"/>
        <v>4.5218537528158684</v>
      </c>
      <c r="U20" s="20">
        <f t="shared" si="18"/>
        <v>4.5218537528158693</v>
      </c>
      <c r="V20" s="20">
        <f t="shared" si="18"/>
        <v>4.5218537528158693</v>
      </c>
      <c r="W20" s="20">
        <f t="shared" si="18"/>
        <v>4.5218537528158693</v>
      </c>
      <c r="X20" s="20">
        <f t="shared" si="18"/>
        <v>4.5096915802082549</v>
      </c>
      <c r="Y20" s="20">
        <f t="shared" si="18"/>
        <v>4.5067225767212191</v>
      </c>
      <c r="Z20" s="20">
        <f t="shared" si="18"/>
        <v>4.5097060953740513</v>
      </c>
      <c r="AA20" s="20">
        <f t="shared" ref="AA20:AL20" si="19">+AA19/AA18</f>
        <v>4.5173298170340006</v>
      </c>
      <c r="AB20" s="20">
        <f t="shared" si="19"/>
        <v>4.5260140849968069</v>
      </c>
      <c r="AC20" s="20">
        <f t="shared" si="19"/>
        <v>4.533044533766029</v>
      </c>
      <c r="AD20" s="135">
        <f t="shared" si="19"/>
        <v>4.5420415895828929</v>
      </c>
      <c r="AE20" s="20">
        <f t="shared" si="19"/>
        <v>4.5420415895828929</v>
      </c>
      <c r="AF20" s="20">
        <f t="shared" si="19"/>
        <v>4.5420415895828938</v>
      </c>
      <c r="AG20" s="20">
        <f t="shared" si="19"/>
        <v>4.5420415895828929</v>
      </c>
      <c r="AH20" s="20">
        <f t="shared" si="19"/>
        <v>4.5420415895828938</v>
      </c>
      <c r="AI20" s="21">
        <f t="shared" si="19"/>
        <v>4.5420415895828929</v>
      </c>
      <c r="AJ20" s="20">
        <f t="shared" si="19"/>
        <v>4.6023474783001035</v>
      </c>
      <c r="AK20" s="20">
        <f t="shared" si="19"/>
        <v>4.643696218169187</v>
      </c>
      <c r="AL20" s="20">
        <f t="shared" si="19"/>
        <v>4.6765249492426824</v>
      </c>
    </row>
    <row r="21" spans="1:38">
      <c r="A21" s="112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0"/>
      <c r="N21" s="20"/>
      <c r="O21" s="20"/>
      <c r="P21" s="20"/>
      <c r="Q21" s="20"/>
      <c r="R21" s="182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182"/>
      <c r="AE21" s="20"/>
      <c r="AF21" s="20"/>
      <c r="AG21" s="20"/>
      <c r="AH21" s="20"/>
      <c r="AI21" s="20"/>
      <c r="AJ21" s="20"/>
      <c r="AK21" s="20"/>
      <c r="AL21" s="20"/>
    </row>
    <row r="22" spans="1:38" s="22" customFormat="1">
      <c r="A22" s="31" t="s">
        <v>451</v>
      </c>
      <c r="B22" s="132">
        <v>399174.5</v>
      </c>
      <c r="C22" s="132">
        <f>862581/2</f>
        <v>431290.5</v>
      </c>
      <c r="D22" s="132">
        <f>975366/2</f>
        <v>487683</v>
      </c>
      <c r="E22" s="132">
        <f>1055974/2</f>
        <v>527987</v>
      </c>
      <c r="F22" s="132">
        <f>1194128/2</f>
        <v>597064</v>
      </c>
      <c r="G22" s="132">
        <f>1183228/2</f>
        <v>591614</v>
      </c>
      <c r="H22" s="132">
        <f>965300/2</f>
        <v>482650</v>
      </c>
      <c r="I22" s="132">
        <f>671529/2</f>
        <v>335764.5</v>
      </c>
      <c r="J22" s="132">
        <f>635310/2</f>
        <v>317655</v>
      </c>
      <c r="K22" s="439">
        <f>456339/2</f>
        <v>228169.5</v>
      </c>
      <c r="L22" s="439">
        <f>504056/2</f>
        <v>252028</v>
      </c>
      <c r="M22" s="439">
        <f>557942/2</f>
        <v>278971</v>
      </c>
      <c r="N22" s="439">
        <f>734492/2</f>
        <v>367246</v>
      </c>
      <c r="R22" s="131"/>
      <c r="AD22" s="131"/>
    </row>
    <row r="23" spans="1:38" s="32" customFormat="1">
      <c r="A23" s="112" t="s">
        <v>449</v>
      </c>
      <c r="B23" s="188">
        <v>2078756.1018736849</v>
      </c>
      <c r="C23" s="188">
        <f>4474892.35214737/2</f>
        <v>2237446.1760736848</v>
      </c>
      <c r="D23" s="188">
        <f>5041030.14214737/2</f>
        <v>2520515.0710736848</v>
      </c>
      <c r="E23" s="188">
        <f>5353450.95/2</f>
        <v>2676725.4750000001</v>
      </c>
      <c r="F23" s="188">
        <f>5936378.401621/2</f>
        <v>2968189.2008105</v>
      </c>
      <c r="G23" s="188">
        <f>5882191.71669533/2</f>
        <v>2941095.8583476651</v>
      </c>
      <c r="H23" s="188">
        <f>4798311.25638447/2</f>
        <v>2399155.6281922348</v>
      </c>
      <c r="I23" s="188">
        <f>3338034.62826297/2</f>
        <v>1669017.3141314851</v>
      </c>
      <c r="J23" s="188">
        <f>3154139.6432154/2</f>
        <v>1577069.8216077001</v>
      </c>
      <c r="K23" s="437">
        <f>2265594.87358679/2</f>
        <v>1132797.4367933951</v>
      </c>
      <c r="L23" s="437">
        <f>2437577.68949895/2</f>
        <v>1218788.8447494749</v>
      </c>
      <c r="M23" s="437">
        <f>2677602.09949895/2</f>
        <v>1338801.049749475</v>
      </c>
      <c r="N23" s="437">
        <f>3455181.26449895/2</f>
        <v>1727590.632249475</v>
      </c>
      <c r="R23" s="199"/>
      <c r="AD23" s="199"/>
    </row>
    <row r="24" spans="1:38">
      <c r="A24" s="1" t="s">
        <v>746</v>
      </c>
      <c r="B24" s="229">
        <f t="shared" ref="B24:I24" si="20">B23/B22</f>
        <v>5.2076375166091147</v>
      </c>
      <c r="C24" s="229">
        <f t="shared" si="20"/>
        <v>5.1877937864935229</v>
      </c>
      <c r="D24" s="229">
        <f t="shared" si="20"/>
        <v>5.1683472072507852</v>
      </c>
      <c r="E24" s="229">
        <f t="shared" si="20"/>
        <v>5.0696806455461969</v>
      </c>
      <c r="F24" s="229">
        <f t="shared" si="20"/>
        <v>4.9713082698178086</v>
      </c>
      <c r="G24" s="229">
        <f t="shared" si="20"/>
        <v>4.9713087559585558</v>
      </c>
      <c r="H24" s="229">
        <f t="shared" si="20"/>
        <v>4.9707979450787008</v>
      </c>
      <c r="I24" s="229">
        <f t="shared" si="20"/>
        <v>4.970797431329057</v>
      </c>
      <c r="J24" s="229">
        <f>J23/J22</f>
        <v>4.9647253202616044</v>
      </c>
      <c r="K24" s="229">
        <f>K23/K22</f>
        <v>4.9647189339214712</v>
      </c>
      <c r="L24" s="229">
        <f>L23/L22</f>
        <v>4.8359263444913854</v>
      </c>
      <c r="M24" s="229">
        <f>M23/M22</f>
        <v>4.7990688987366967</v>
      </c>
      <c r="N24" s="229">
        <f>N23/N22</f>
        <v>4.7041782136482766</v>
      </c>
    </row>
    <row r="25" spans="1:38" s="22" customFormat="1">
      <c r="A25" s="1"/>
      <c r="B25" s="29"/>
    </row>
    <row r="26" spans="1:38" s="108" customFormat="1">
      <c r="A26" s="105" t="s">
        <v>452</v>
      </c>
      <c r="B26" s="108">
        <f t="shared" ref="B26:C28" si="21">B18-B22</f>
        <v>0</v>
      </c>
      <c r="C26" s="108">
        <f t="shared" si="21"/>
        <v>-13568</v>
      </c>
      <c r="D26" s="108">
        <f t="shared" ref="D26:E28" si="22">D18-D22</f>
        <v>-35822.5</v>
      </c>
      <c r="E26" s="108">
        <f t="shared" si="22"/>
        <v>-31635.5</v>
      </c>
      <c r="F26" s="108">
        <f t="shared" ref="F26:G28" si="23">F18-F22</f>
        <v>-32628.5</v>
      </c>
      <c r="G26" s="108">
        <f t="shared" si="23"/>
        <v>-38078.5</v>
      </c>
      <c r="H26" s="108">
        <f t="shared" ref="H26:I28" si="24">H18-H22</f>
        <v>-62525.5</v>
      </c>
      <c r="I26" s="108">
        <f t="shared" si="24"/>
        <v>-2799</v>
      </c>
      <c r="J26" s="108">
        <f t="shared" ref="J26:K28" si="25">J18-J22</f>
        <v>-23298.5</v>
      </c>
      <c r="K26" s="108">
        <f t="shared" si="25"/>
        <v>-49105</v>
      </c>
      <c r="L26" s="108">
        <f t="shared" ref="L26:M28" si="26">L18-L22</f>
        <v>-6303.5</v>
      </c>
      <c r="M26" s="108">
        <f t="shared" si="26"/>
        <v>-33246.5</v>
      </c>
      <c r="N26" s="108">
        <f t="shared" ref="N26" si="27">N18-N22</f>
        <v>-45977.5</v>
      </c>
    </row>
    <row r="27" spans="1:38" s="30" customFormat="1">
      <c r="A27" s="110" t="s">
        <v>453</v>
      </c>
      <c r="B27" s="30">
        <f t="shared" si="21"/>
        <v>0</v>
      </c>
      <c r="C27" s="30">
        <f t="shared" si="21"/>
        <v>-68438.635174097959</v>
      </c>
      <c r="D27" s="30">
        <f t="shared" si="22"/>
        <v>-183170.39439559868</v>
      </c>
      <c r="E27" s="30">
        <f t="shared" si="22"/>
        <v>-174710.81155857537</v>
      </c>
      <c r="F27" s="30">
        <f t="shared" si="23"/>
        <v>-199823.35049328674</v>
      </c>
      <c r="G27" s="30">
        <f t="shared" si="23"/>
        <v>-226190.83352505229</v>
      </c>
      <c r="H27" s="30">
        <f t="shared" si="24"/>
        <v>-338849.49979259353</v>
      </c>
      <c r="I27" s="30">
        <f t="shared" si="24"/>
        <v>-36142.154040486319</v>
      </c>
      <c r="J27" s="30">
        <f t="shared" si="25"/>
        <v>-133987.67771840864</v>
      </c>
      <c r="K27" s="30">
        <f t="shared" si="25"/>
        <v>-254934.08893301478</v>
      </c>
      <c r="L27" s="30">
        <f t="shared" si="26"/>
        <v>-48825.376431912417</v>
      </c>
      <c r="M27" s="30">
        <f t="shared" si="26"/>
        <v>-168837.58143191249</v>
      </c>
      <c r="N27" s="30">
        <f t="shared" ref="N27" si="28">N19-N23</f>
        <v>-219271.23782988172</v>
      </c>
    </row>
    <row r="28" spans="1:38">
      <c r="A28" s="198" t="s">
        <v>747</v>
      </c>
      <c r="B28" s="29">
        <f t="shared" si="21"/>
        <v>0</v>
      </c>
      <c r="C28" s="29">
        <f t="shared" si="21"/>
        <v>4.6666170030249532E-3</v>
      </c>
      <c r="D28" s="29">
        <f t="shared" si="22"/>
        <v>4.3657797841207824E-3</v>
      </c>
      <c r="E28" s="29">
        <f t="shared" si="22"/>
        <v>-2.8868512528719137E-2</v>
      </c>
      <c r="F28" s="29">
        <f t="shared" si="23"/>
        <v>-6.6645380404911414E-2</v>
      </c>
      <c r="G28" s="29">
        <f t="shared" si="23"/>
        <v>-6.6645866545658627E-2</v>
      </c>
      <c r="H28" s="29">
        <f t="shared" si="24"/>
        <v>-6.6760859882190715E-2</v>
      </c>
      <c r="I28" s="29">
        <f t="shared" si="24"/>
        <v>-6.6760346132546111E-2</v>
      </c>
      <c r="J28" s="29">
        <f t="shared" si="25"/>
        <v>-6.2227349639955243E-2</v>
      </c>
      <c r="K28" s="29">
        <f t="shared" si="25"/>
        <v>-6.2220963299822074E-2</v>
      </c>
      <c r="L28" s="29">
        <f t="shared" si="26"/>
        <v>-7.4645038323044588E-2</v>
      </c>
      <c r="M28" s="29">
        <f t="shared" si="26"/>
        <v>-3.7787592568355954E-2</v>
      </c>
      <c r="N28" s="29">
        <f t="shared" ref="N28" si="29">N20-N24</f>
        <v>-9.2909326991845731E-3</v>
      </c>
    </row>
    <row r="29" spans="1:38">
      <c r="A29" s="198"/>
      <c r="B29" s="29"/>
      <c r="F29" s="32"/>
      <c r="G29" s="32"/>
    </row>
    <row r="30" spans="1:38" s="22" customFormat="1">
      <c r="A30" s="31" t="s">
        <v>288</v>
      </c>
      <c r="C30" s="132">
        <v>441175</v>
      </c>
      <c r="D30" s="132">
        <v>475313</v>
      </c>
      <c r="E30" s="132">
        <v>519804</v>
      </c>
      <c r="F30" s="132">
        <v>600000</v>
      </c>
      <c r="G30" s="132">
        <v>589100</v>
      </c>
      <c r="H30" s="132">
        <v>455689</v>
      </c>
      <c r="I30" s="132">
        <v>368530</v>
      </c>
      <c r="J30" s="132">
        <v>329921</v>
      </c>
      <c r="K30" s="439">
        <v>214629</v>
      </c>
      <c r="L30" s="439">
        <v>281289</v>
      </c>
      <c r="M30" s="439">
        <v>281289</v>
      </c>
      <c r="N30" s="439">
        <v>356833</v>
      </c>
    </row>
    <row r="31" spans="1:38" s="108" customFormat="1">
      <c r="A31" s="105" t="s">
        <v>287</v>
      </c>
      <c r="B31" s="108">
        <f t="shared" ref="B31:N31" si="30">B18-B30</f>
        <v>399174.5</v>
      </c>
      <c r="C31" s="108">
        <f t="shared" si="30"/>
        <v>-23452.5</v>
      </c>
      <c r="D31" s="108">
        <f t="shared" si="30"/>
        <v>-23452.5</v>
      </c>
      <c r="E31" s="108">
        <f t="shared" si="30"/>
        <v>-23452.5</v>
      </c>
      <c r="F31" s="108">
        <f t="shared" si="30"/>
        <v>-35564.5</v>
      </c>
      <c r="G31" s="108">
        <f t="shared" si="30"/>
        <v>-35564.5</v>
      </c>
      <c r="H31" s="108">
        <f t="shared" si="30"/>
        <v>-35564.5</v>
      </c>
      <c r="I31" s="108">
        <f t="shared" si="30"/>
        <v>-35564.5</v>
      </c>
      <c r="J31" s="108">
        <f t="shared" si="30"/>
        <v>-35564.5</v>
      </c>
      <c r="K31" s="108">
        <f t="shared" si="30"/>
        <v>-35564.5</v>
      </c>
      <c r="L31" s="108">
        <f t="shared" si="30"/>
        <v>-35564.5</v>
      </c>
      <c r="M31" s="108">
        <f t="shared" si="30"/>
        <v>-35564.5</v>
      </c>
      <c r="N31" s="108">
        <f t="shared" si="30"/>
        <v>-35564.5</v>
      </c>
    </row>
  </sheetData>
  <phoneticPr fontId="0" type="noConversion"/>
  <printOptions gridLines="1" gridLinesSet="0"/>
  <pageMargins left="0.75" right="0.75" top="1" bottom="1" header="0.5" footer="0.5"/>
  <pageSetup orientation="portrait" r:id="rId1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AN31"/>
  <sheetViews>
    <sheetView topLeftCell="E1" zoomScale="50" workbookViewId="0">
      <selection activeCell="Q37" sqref="Q37:Q38"/>
    </sheetView>
  </sheetViews>
  <sheetFormatPr defaultRowHeight="20.25"/>
  <cols>
    <col min="1" max="1" width="41.21875" style="4" bestFit="1" customWidth="1"/>
    <col min="2" max="2" width="19.21875" style="10" bestFit="1" customWidth="1"/>
    <col min="3" max="3" width="18.33203125" style="10" customWidth="1"/>
    <col min="4" max="4" width="15.88671875" style="10" bestFit="1" customWidth="1"/>
    <col min="5" max="10" width="15" style="10" bestFit="1" customWidth="1"/>
    <col min="11" max="11" width="17.88671875" style="10" bestFit="1" customWidth="1"/>
    <col min="12" max="22" width="15" style="10" bestFit="1" customWidth="1"/>
    <col min="23" max="23" width="13.44140625" style="10" bestFit="1" customWidth="1"/>
    <col min="24" max="26" width="15" style="10" bestFit="1" customWidth="1"/>
    <col min="27" max="27" width="14.33203125" style="10" bestFit="1" customWidth="1"/>
    <col min="28" max="33" width="15" style="10" bestFit="1" customWidth="1"/>
    <col min="34" max="34" width="15.44140625" style="10" bestFit="1" customWidth="1"/>
    <col min="35" max="35" width="13.44140625" style="10" customWidth="1"/>
    <col min="36" max="38" width="15" style="10" bestFit="1" customWidth="1"/>
    <col min="39" max="39" width="14.33203125" style="10" bestFit="1" customWidth="1"/>
    <col min="40" max="40" width="10.109375" style="10" bestFit="1" customWidth="1"/>
    <col min="41" max="16384" width="8.88671875" style="10"/>
  </cols>
  <sheetData>
    <row r="1" spans="1:40">
      <c r="C1" s="13" t="s">
        <v>55</v>
      </c>
      <c r="D1" s="28">
        <v>600000</v>
      </c>
      <c r="E1" s="24"/>
      <c r="F1" s="24"/>
      <c r="G1" s="24"/>
      <c r="H1" s="24"/>
      <c r="I1" s="28"/>
      <c r="J1" s="24"/>
      <c r="K1" s="24"/>
      <c r="L1" s="24"/>
      <c r="M1" s="24"/>
      <c r="N1" s="24"/>
      <c r="O1" s="13" t="s">
        <v>55</v>
      </c>
      <c r="P1" s="28">
        <v>600000</v>
      </c>
      <c r="AA1" s="13" t="s">
        <v>55</v>
      </c>
      <c r="AB1" s="28">
        <v>600000</v>
      </c>
      <c r="AM1" s="13" t="s">
        <v>55</v>
      </c>
      <c r="AN1" s="28">
        <v>600000</v>
      </c>
    </row>
    <row r="2" spans="1:40">
      <c r="C2" s="131" t="s">
        <v>759</v>
      </c>
      <c r="D2" s="132">
        <v>1600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131" t="s">
        <v>760</v>
      </c>
      <c r="P2" s="132">
        <v>1550</v>
      </c>
      <c r="AA2" s="131" t="s">
        <v>871</v>
      </c>
      <c r="AB2" s="132">
        <v>1750</v>
      </c>
      <c r="AM2" s="131" t="s">
        <v>903</v>
      </c>
      <c r="AN2" s="132">
        <v>1750</v>
      </c>
    </row>
    <row r="3" spans="1:40">
      <c r="A3" s="4" t="s">
        <v>1</v>
      </c>
      <c r="B3" s="10">
        <v>30</v>
      </c>
      <c r="C3" s="24">
        <v>31</v>
      </c>
      <c r="D3" s="24">
        <v>31</v>
      </c>
      <c r="E3" s="24">
        <v>30</v>
      </c>
      <c r="F3" s="24">
        <v>31</v>
      </c>
      <c r="G3" s="24"/>
      <c r="H3" s="24"/>
      <c r="I3" s="24"/>
      <c r="J3" s="24"/>
      <c r="K3" s="24"/>
      <c r="L3" s="24">
        <v>30</v>
      </c>
      <c r="M3" s="24">
        <v>31</v>
      </c>
      <c r="N3" s="24">
        <v>30</v>
      </c>
      <c r="O3" s="24">
        <v>31</v>
      </c>
      <c r="P3" s="24">
        <v>31</v>
      </c>
      <c r="Q3" s="10">
        <v>30</v>
      </c>
      <c r="R3" s="10">
        <v>31</v>
      </c>
      <c r="X3" s="10">
        <v>30</v>
      </c>
      <c r="Y3" s="10">
        <v>31</v>
      </c>
      <c r="Z3" s="10">
        <v>30</v>
      </c>
      <c r="AA3" s="10">
        <v>31</v>
      </c>
      <c r="AB3" s="10">
        <v>31</v>
      </c>
      <c r="AC3" s="10">
        <v>30</v>
      </c>
      <c r="AD3" s="10">
        <v>31</v>
      </c>
      <c r="AJ3" s="10">
        <v>30</v>
      </c>
      <c r="AK3" s="10">
        <v>31</v>
      </c>
      <c r="AL3" s="10">
        <v>30</v>
      </c>
      <c r="AM3" s="10">
        <v>31</v>
      </c>
    </row>
    <row r="4" spans="1:40">
      <c r="B4" s="46">
        <v>40330</v>
      </c>
      <c r="C4" s="46">
        <v>40360</v>
      </c>
      <c r="D4" s="46">
        <v>40391</v>
      </c>
      <c r="E4" s="46">
        <v>40422</v>
      </c>
      <c r="F4" s="46">
        <v>40452</v>
      </c>
      <c r="G4" s="46">
        <v>40483</v>
      </c>
      <c r="H4" s="46">
        <v>40513</v>
      </c>
      <c r="I4" s="46">
        <v>40544</v>
      </c>
      <c r="J4" s="46">
        <v>40575</v>
      </c>
      <c r="K4" s="46">
        <v>40603</v>
      </c>
      <c r="L4" s="46">
        <v>40634</v>
      </c>
      <c r="M4" s="46">
        <v>40664</v>
      </c>
      <c r="N4" s="46">
        <v>40695</v>
      </c>
      <c r="O4" s="46">
        <v>40725</v>
      </c>
      <c r="P4" s="46">
        <v>40756</v>
      </c>
      <c r="Q4" s="46">
        <v>40787</v>
      </c>
      <c r="R4" s="46">
        <v>40817</v>
      </c>
      <c r="S4" s="46">
        <v>40848</v>
      </c>
      <c r="T4" s="46">
        <v>40878</v>
      </c>
      <c r="U4" s="46">
        <v>40909</v>
      </c>
      <c r="V4" s="46">
        <v>40940</v>
      </c>
      <c r="W4" s="46">
        <v>40969</v>
      </c>
      <c r="X4" s="46">
        <v>41000</v>
      </c>
      <c r="Y4" s="46">
        <v>41030</v>
      </c>
      <c r="Z4" s="46">
        <v>41061</v>
      </c>
      <c r="AA4" s="46">
        <v>41091</v>
      </c>
      <c r="AB4" s="46">
        <v>41122</v>
      </c>
      <c r="AC4" s="46">
        <v>41153</v>
      </c>
      <c r="AD4" s="46">
        <v>41183</v>
      </c>
      <c r="AE4" s="46">
        <v>41214</v>
      </c>
      <c r="AF4" s="46">
        <v>41244</v>
      </c>
      <c r="AG4" s="46">
        <v>41275</v>
      </c>
      <c r="AH4" s="46">
        <v>41306</v>
      </c>
      <c r="AI4" s="46">
        <v>41334</v>
      </c>
      <c r="AJ4" s="46">
        <v>41365</v>
      </c>
      <c r="AK4" s="46">
        <v>41395</v>
      </c>
      <c r="AL4" s="46">
        <v>41426</v>
      </c>
      <c r="AM4" s="46">
        <v>41456</v>
      </c>
    </row>
    <row r="5" spans="1:40">
      <c r="A5" s="4" t="s">
        <v>346</v>
      </c>
      <c r="B5" s="46"/>
      <c r="C5" s="28">
        <f>$D$2*C3</f>
        <v>49600</v>
      </c>
      <c r="D5" s="28">
        <f>$D$2*D3</f>
        <v>49600</v>
      </c>
      <c r="E5" s="28">
        <f>$D$2*E3</f>
        <v>48000</v>
      </c>
      <c r="F5" s="28">
        <f>$D$2*F3</f>
        <v>49600</v>
      </c>
      <c r="G5" s="55"/>
      <c r="H5" s="55"/>
      <c r="I5" s="55"/>
      <c r="J5" s="55"/>
      <c r="K5" s="55"/>
      <c r="L5" s="28">
        <f>$P$2*L3</f>
        <v>46500</v>
      </c>
      <c r="M5" s="28">
        <f t="shared" ref="M5:R5" si="0">$P$2*M3</f>
        <v>48050</v>
      </c>
      <c r="N5" s="28">
        <f t="shared" si="0"/>
        <v>46500</v>
      </c>
      <c r="O5" s="28">
        <f t="shared" si="0"/>
        <v>48050</v>
      </c>
      <c r="P5" s="28">
        <f t="shared" si="0"/>
        <v>48050</v>
      </c>
      <c r="Q5" s="28">
        <f t="shared" si="0"/>
        <v>46500</v>
      </c>
      <c r="R5" s="28">
        <f t="shared" si="0"/>
        <v>48050</v>
      </c>
      <c r="S5" s="55"/>
      <c r="T5" s="55"/>
      <c r="U5" s="55"/>
      <c r="V5" s="55"/>
      <c r="W5" s="55"/>
      <c r="X5" s="28">
        <f>$AB$2*X3</f>
        <v>52500</v>
      </c>
      <c r="Y5" s="28">
        <f t="shared" ref="Y5:AD5" si="1">$AB$2*Y3</f>
        <v>54250</v>
      </c>
      <c r="Z5" s="28">
        <f t="shared" si="1"/>
        <v>52500</v>
      </c>
      <c r="AA5" s="28">
        <f t="shared" si="1"/>
        <v>54250</v>
      </c>
      <c r="AB5" s="28">
        <f t="shared" si="1"/>
        <v>54250</v>
      </c>
      <c r="AC5" s="28">
        <f t="shared" si="1"/>
        <v>52500</v>
      </c>
      <c r="AD5" s="28">
        <f t="shared" si="1"/>
        <v>54250</v>
      </c>
      <c r="AE5" s="55"/>
      <c r="AF5" s="55"/>
      <c r="AG5" s="55"/>
      <c r="AH5" s="55"/>
      <c r="AI5" s="55"/>
      <c r="AJ5" s="28">
        <f>$AN$2*AJ3</f>
        <v>52500</v>
      </c>
      <c r="AK5" s="28">
        <f>$AN$2*AK3</f>
        <v>54250</v>
      </c>
      <c r="AL5" s="28">
        <f>$AN$2*AL3</f>
        <v>52500</v>
      </c>
      <c r="AM5" s="28">
        <f>$AN$2*AM3</f>
        <v>54250</v>
      </c>
    </row>
    <row r="6" spans="1:40" s="195" customFormat="1">
      <c r="A6" s="225" t="s">
        <v>196</v>
      </c>
      <c r="C6" s="132">
        <v>45684</v>
      </c>
      <c r="D6" s="132">
        <v>78647</v>
      </c>
      <c r="E6" s="132">
        <v>36117</v>
      </c>
      <c r="F6" s="132">
        <v>47665</v>
      </c>
      <c r="G6" s="132">
        <v>0</v>
      </c>
      <c r="H6" s="132">
        <v>0</v>
      </c>
      <c r="I6" s="132">
        <v>0</v>
      </c>
      <c r="J6" s="132">
        <v>6106</v>
      </c>
      <c r="K6" s="439">
        <v>0</v>
      </c>
      <c r="L6" s="439">
        <v>18906</v>
      </c>
      <c r="M6" s="439">
        <v>53886</v>
      </c>
      <c r="N6" s="439">
        <v>101006</v>
      </c>
      <c r="O6" s="195">
        <f t="shared" ref="O6:R6" si="2">O5</f>
        <v>48050</v>
      </c>
      <c r="P6" s="195">
        <f t="shared" si="2"/>
        <v>48050</v>
      </c>
      <c r="Q6" s="195">
        <f t="shared" si="2"/>
        <v>46500</v>
      </c>
      <c r="R6" s="195">
        <f t="shared" si="2"/>
        <v>48050</v>
      </c>
      <c r="X6" s="195">
        <f t="shared" ref="X6:AD6" si="3">X5</f>
        <v>52500</v>
      </c>
      <c r="Y6" s="195">
        <f t="shared" si="3"/>
        <v>54250</v>
      </c>
      <c r="Z6" s="195">
        <f t="shared" si="3"/>
        <v>52500</v>
      </c>
      <c r="AA6" s="195">
        <f t="shared" si="3"/>
        <v>54250</v>
      </c>
      <c r="AB6" s="195">
        <f t="shared" si="3"/>
        <v>54250</v>
      </c>
      <c r="AC6" s="195">
        <f t="shared" si="3"/>
        <v>52500</v>
      </c>
      <c r="AD6" s="195">
        <f t="shared" si="3"/>
        <v>54250</v>
      </c>
      <c r="AJ6" s="195">
        <f>AJ5</f>
        <v>52500</v>
      </c>
      <c r="AK6" s="195">
        <f>AK5</f>
        <v>54250</v>
      </c>
      <c r="AL6" s="195">
        <f>AL5</f>
        <v>52500</v>
      </c>
      <c r="AM6" s="195">
        <f>AM5</f>
        <v>54250</v>
      </c>
    </row>
    <row r="7" spans="1:40" s="189" customFormat="1">
      <c r="A7" s="223" t="s">
        <v>57</v>
      </c>
      <c r="C7" s="146">
        <f>+'GSS-09'!C7</f>
        <v>4.8658313039628069</v>
      </c>
      <c r="D7" s="146">
        <f>+'GSS-09'!D7</f>
        <v>4.9310778539603763</v>
      </c>
      <c r="E7" s="146">
        <f>+'GSS-09'!E7</f>
        <v>3.7011976975868937</v>
      </c>
      <c r="F7" s="146">
        <f>+'GSS-09'!F7</f>
        <v>3.9120966288083645</v>
      </c>
      <c r="G7" s="146">
        <f>+'GSS-09'!G7</f>
        <v>3.3109999999999999</v>
      </c>
      <c r="H7" s="146">
        <f>+'GSS-09'!H7</f>
        <v>4.6284909529553682</v>
      </c>
      <c r="I7" s="146">
        <f>+'GSS-09'!I7</f>
        <v>4.6194339651476053</v>
      </c>
      <c r="J7" s="146">
        <f>+'GSS-09'!J7</f>
        <v>4.5345033336832365</v>
      </c>
      <c r="K7" s="441">
        <f>+'GSS-09'!K7</f>
        <v>3.7609999999999997</v>
      </c>
      <c r="L7" s="441">
        <f>+'GSS-09'!L7</f>
        <v>4.449844771241831</v>
      </c>
      <c r="M7" s="441">
        <f>+'GSS-09'!M7</f>
        <v>4.5546478873239424</v>
      </c>
      <c r="N7" s="441">
        <f>+'GSS-09'!N7</f>
        <v>4.4789252105002495</v>
      </c>
      <c r="O7" s="189">
        <f>+'GSS-09'!O7</f>
        <v>4.4750000000000005</v>
      </c>
      <c r="P7" s="189">
        <f>+'GSS-09'!P7</f>
        <v>4.4400000000000004</v>
      </c>
      <c r="Q7" s="189">
        <f>+'GSS-09'!Q7</f>
        <v>4.069</v>
      </c>
      <c r="R7" s="189">
        <f>+'GSS-09'!R7</f>
        <v>4.1449999999999996</v>
      </c>
      <c r="X7" s="189">
        <f>+'GSS-09'!X7</f>
        <v>4.468</v>
      </c>
      <c r="Y7" s="189">
        <f>+'GSS-09'!Y7</f>
        <v>4.4939999999999998</v>
      </c>
      <c r="Z7" s="189">
        <f>+'GSS-09'!Z7</f>
        <v>4.5259999999999998</v>
      </c>
      <c r="AA7" s="189">
        <f>+'GSS-09'!AA7</f>
        <v>4.5649999999999995</v>
      </c>
      <c r="AB7" s="189">
        <f>+'GSS-09'!AB7</f>
        <v>4.5889999999999995</v>
      </c>
      <c r="AC7" s="189">
        <f>+'GSS-09'!AC7</f>
        <v>4.593</v>
      </c>
      <c r="AD7" s="189">
        <f>+'GSS-09'!AD7</f>
        <v>4.625</v>
      </c>
      <c r="AJ7" s="189">
        <f>+'GSS-09'!AJ7</f>
        <v>4.8084999999999996</v>
      </c>
      <c r="AK7" s="189">
        <f>+'GSS-09'!AK7</f>
        <v>4.8205</v>
      </c>
      <c r="AL7" s="189">
        <f>+'GSS-09'!AL7</f>
        <v>4.8555000000000001</v>
      </c>
      <c r="AM7" s="189">
        <f>+'GSS-09'!AM7</f>
        <v>0</v>
      </c>
    </row>
    <row r="8" spans="1:40">
      <c r="A8" s="4" t="s">
        <v>58</v>
      </c>
      <c r="B8" s="25"/>
      <c r="C8" s="25">
        <f>+C6*C7</f>
        <v>222290.63729023686</v>
      </c>
      <c r="D8" s="25">
        <f>+D6*D7</f>
        <v>387814.47998042172</v>
      </c>
      <c r="E8" s="25">
        <f>+E6*E7</f>
        <v>133676.15724374584</v>
      </c>
      <c r="F8" s="25">
        <f>+F6*F7</f>
        <v>186470.0858121507</v>
      </c>
      <c r="G8" s="25">
        <f>+G6*G7</f>
        <v>0</v>
      </c>
      <c r="K8" s="25">
        <f>+K6*K7</f>
        <v>0</v>
      </c>
      <c r="L8" s="25">
        <f t="shared" ref="L8:R8" si="4">+L6*L7</f>
        <v>84128.765245098053</v>
      </c>
      <c r="M8" s="25">
        <f t="shared" si="4"/>
        <v>245431.75605633797</v>
      </c>
      <c r="N8" s="25">
        <f t="shared" si="4"/>
        <v>452398.31981178821</v>
      </c>
      <c r="O8" s="25">
        <f t="shared" si="4"/>
        <v>215023.75000000003</v>
      </c>
      <c r="P8" s="25">
        <f t="shared" si="4"/>
        <v>213342.00000000003</v>
      </c>
      <c r="Q8" s="25">
        <f t="shared" si="4"/>
        <v>189208.5</v>
      </c>
      <c r="R8" s="25">
        <f t="shared" si="4"/>
        <v>199167.24999999997</v>
      </c>
      <c r="X8" s="25">
        <f t="shared" ref="X8:AD8" si="5">+X6*X7</f>
        <v>234570</v>
      </c>
      <c r="Y8" s="25">
        <f t="shared" si="5"/>
        <v>243799.5</v>
      </c>
      <c r="Z8" s="25">
        <f t="shared" si="5"/>
        <v>237615</v>
      </c>
      <c r="AA8" s="25">
        <f t="shared" si="5"/>
        <v>247651.24999999997</v>
      </c>
      <c r="AB8" s="25">
        <f t="shared" si="5"/>
        <v>248953.24999999997</v>
      </c>
      <c r="AC8" s="25">
        <f t="shared" si="5"/>
        <v>241132.5</v>
      </c>
      <c r="AD8" s="25">
        <f t="shared" si="5"/>
        <v>250906.25</v>
      </c>
      <c r="AJ8" s="25">
        <f>+AJ6*AJ7</f>
        <v>252446.24999999997</v>
      </c>
      <c r="AK8" s="25">
        <f>+AK6*AK7</f>
        <v>261512.125</v>
      </c>
      <c r="AL8" s="25">
        <f>+AL6*AL7</f>
        <v>254913.75</v>
      </c>
      <c r="AM8" s="25">
        <f>+AM6*AM7</f>
        <v>0</v>
      </c>
    </row>
    <row r="9" spans="1:40">
      <c r="A9" s="4" t="s">
        <v>197</v>
      </c>
      <c r="H9" s="150">
        <v>-0.18</v>
      </c>
      <c r="I9" s="150">
        <v>-0.23100000000000001</v>
      </c>
      <c r="J9" s="150">
        <v>-0.189</v>
      </c>
      <c r="K9" s="150">
        <v>-2.5000000000000001E-2</v>
      </c>
      <c r="T9" s="150">
        <v>-0.18</v>
      </c>
      <c r="U9" s="150">
        <v>-0.23100000000000001</v>
      </c>
      <c r="V9" s="150">
        <v>-0.189</v>
      </c>
      <c r="W9" s="150">
        <v>-2.5000000000000001E-2</v>
      </c>
      <c r="AF9" s="150">
        <v>-0.18</v>
      </c>
      <c r="AG9" s="150">
        <v>-0.23100000000000001</v>
      </c>
      <c r="AH9" s="150">
        <v>-0.189</v>
      </c>
      <c r="AI9" s="150">
        <v>-2.5000000000000001E-2</v>
      </c>
    </row>
    <row r="10" spans="1:40">
      <c r="A10" s="4" t="s">
        <v>347</v>
      </c>
      <c r="H10" s="108">
        <f>H9*$D$1</f>
        <v>-108000</v>
      </c>
      <c r="I10" s="108">
        <f>I9*$D$1</f>
        <v>-138600</v>
      </c>
      <c r="J10" s="108">
        <f>J9*$D$1</f>
        <v>-113400</v>
      </c>
      <c r="K10" s="108">
        <f>K9*$D$1</f>
        <v>-15000</v>
      </c>
      <c r="T10" s="107">
        <f>$P$1*T9</f>
        <v>-108000</v>
      </c>
      <c r="U10" s="107">
        <f>$P$1*U9</f>
        <v>-138600</v>
      </c>
      <c r="V10" s="107">
        <f>$P$1*V9</f>
        <v>-113400</v>
      </c>
      <c r="W10" s="107">
        <f>$P$1*W9</f>
        <v>-15000</v>
      </c>
      <c r="AF10" s="107">
        <f>$AB$1*AF9</f>
        <v>-108000</v>
      </c>
      <c r="AG10" s="107">
        <f>$AB$1*AG9</f>
        <v>-138600</v>
      </c>
      <c r="AH10" s="107">
        <f>$AB$1*AH9</f>
        <v>-113400</v>
      </c>
      <c r="AI10" s="107">
        <f>$AB$1*AI9</f>
        <v>-15000</v>
      </c>
    </row>
    <row r="11" spans="1:40" s="196" customFormat="1">
      <c r="A11" s="225" t="s">
        <v>198</v>
      </c>
      <c r="G11" s="421">
        <v>0</v>
      </c>
      <c r="H11" s="421">
        <v>-84517</v>
      </c>
      <c r="I11" s="421">
        <v>-206612</v>
      </c>
      <c r="J11" s="421">
        <v>-3716</v>
      </c>
      <c r="K11" s="438">
        <v>-63679</v>
      </c>
      <c r="L11" s="438">
        <v>-37849</v>
      </c>
      <c r="M11" s="438">
        <v>0</v>
      </c>
      <c r="N11" s="438">
        <v>0</v>
      </c>
      <c r="T11" s="196">
        <f>T10</f>
        <v>-108000</v>
      </c>
      <c r="U11" s="196">
        <f>U10</f>
        <v>-138600</v>
      </c>
      <c r="V11" s="196">
        <f>V10</f>
        <v>-113400</v>
      </c>
      <c r="W11" s="196">
        <f>W10</f>
        <v>-15000</v>
      </c>
      <c r="AF11" s="196">
        <f>AF10</f>
        <v>-108000</v>
      </c>
      <c r="AG11" s="196">
        <f>AG10</f>
        <v>-138600</v>
      </c>
      <c r="AH11" s="196">
        <f>AH10</f>
        <v>-113400</v>
      </c>
      <c r="AI11" s="196">
        <f>AI10</f>
        <v>-15000</v>
      </c>
    </row>
    <row r="12" spans="1:40">
      <c r="A12" s="4" t="s">
        <v>59</v>
      </c>
      <c r="F12" s="20">
        <f t="shared" ref="F12:L12" si="6">+E20</f>
        <v>5.0436452722828147</v>
      </c>
      <c r="G12" s="20">
        <f t="shared" si="6"/>
        <v>4.9548318748537383</v>
      </c>
      <c r="H12" s="20">
        <f t="shared" si="6"/>
        <v>4.9548318748537383</v>
      </c>
      <c r="I12" s="20">
        <f t="shared" si="6"/>
        <v>5.1101672267853759</v>
      </c>
      <c r="J12" s="20">
        <f t="shared" si="6"/>
        <v>5.1101672267853759</v>
      </c>
      <c r="K12" s="20">
        <f t="shared" si="6"/>
        <v>5.0122145411291834</v>
      </c>
      <c r="L12" s="20">
        <f t="shared" si="6"/>
        <v>5.0122145411291843</v>
      </c>
      <c r="S12" s="20">
        <f>+R20</f>
        <v>4.6201189693617977</v>
      </c>
      <c r="T12" s="20">
        <f>+S20</f>
        <v>4.6201189693617977</v>
      </c>
      <c r="U12" s="20">
        <f>+T20</f>
        <v>4.6201189693617977</v>
      </c>
      <c r="V12" s="20">
        <f>+U20</f>
        <v>4.6201189693617977</v>
      </c>
      <c r="W12" s="20">
        <f>+V20</f>
        <v>4.6201189693617977</v>
      </c>
      <c r="AE12" s="20">
        <f>+AD20</f>
        <v>4.5760429066733845</v>
      </c>
      <c r="AF12" s="20">
        <f>+AE20</f>
        <v>4.5760429066733845</v>
      </c>
      <c r="AG12" s="20">
        <f>+AF20</f>
        <v>4.5760429066733845</v>
      </c>
      <c r="AH12" s="20">
        <f>+AG20</f>
        <v>4.5760429066733854</v>
      </c>
      <c r="AI12" s="20">
        <f>+AH20</f>
        <v>4.5760429066733845</v>
      </c>
    </row>
    <row r="13" spans="1:40">
      <c r="A13" s="4" t="s">
        <v>60</v>
      </c>
      <c r="F13" s="30">
        <f t="shared" ref="F13:L13" si="7">F11*F12</f>
        <v>0</v>
      </c>
      <c r="G13" s="30">
        <f t="shared" si="7"/>
        <v>0</v>
      </c>
      <c r="H13" s="30">
        <f t="shared" si="7"/>
        <v>-418767.52556701342</v>
      </c>
      <c r="I13" s="30">
        <f t="shared" si="7"/>
        <v>-1055821.87106058</v>
      </c>
      <c r="J13" s="30">
        <f t="shared" si="7"/>
        <v>-18989.381414734456</v>
      </c>
      <c r="K13" s="30">
        <f t="shared" si="7"/>
        <v>-319172.80976456526</v>
      </c>
      <c r="L13" s="30">
        <f t="shared" si="7"/>
        <v>-189707.3081671985</v>
      </c>
      <c r="S13" s="30">
        <f>S11*S12</f>
        <v>0</v>
      </c>
      <c r="T13" s="30">
        <f>T11*T12</f>
        <v>-498972.84869107412</v>
      </c>
      <c r="U13" s="30">
        <f>U11*U12</f>
        <v>-640348.48915354512</v>
      </c>
      <c r="V13" s="30">
        <f>V11*V12</f>
        <v>-523921.49112562783</v>
      </c>
      <c r="W13" s="30">
        <f>W11*W12</f>
        <v>-69301.784540426961</v>
      </c>
      <c r="AE13" s="30">
        <f>AE11*AE12</f>
        <v>0</v>
      </c>
      <c r="AF13" s="30">
        <f>AF11*AF12</f>
        <v>-494212.63392072555</v>
      </c>
      <c r="AG13" s="30">
        <f>AG11*AG12</f>
        <v>-634239.54686493112</v>
      </c>
      <c r="AH13" s="30">
        <f>AH11*AH12</f>
        <v>-518923.26561676193</v>
      </c>
      <c r="AI13" s="30">
        <f>AI11*AI12</f>
        <v>-68640.643600100768</v>
      </c>
    </row>
    <row r="14" spans="1:40" s="22" customFormat="1">
      <c r="A14" s="4" t="s">
        <v>62</v>
      </c>
      <c r="H14" s="22">
        <v>16389</v>
      </c>
    </row>
    <row r="15" spans="1:40" s="16" customFormat="1">
      <c r="A15" s="7" t="s">
        <v>63</v>
      </c>
      <c r="H15" s="16">
        <f>G20</f>
        <v>4.9548318748537383</v>
      </c>
    </row>
    <row r="16" spans="1:40">
      <c r="A16" s="4" t="s">
        <v>64</v>
      </c>
      <c r="H16" s="32">
        <f>H14*H15</f>
        <v>81204.739596977917</v>
      </c>
    </row>
    <row r="17" spans="1:38">
      <c r="A17" s="4" t="s">
        <v>350</v>
      </c>
      <c r="B17" s="124">
        <f>B18/$D$1</f>
        <v>0.66529083333333339</v>
      </c>
      <c r="C17" s="124">
        <f t="shared" ref="C17:N17" si="8">C18/$D$1</f>
        <v>0.74143083333333337</v>
      </c>
      <c r="D17" s="124">
        <f t="shared" si="8"/>
        <v>0.87250916666666667</v>
      </c>
      <c r="E17" s="124">
        <f t="shared" si="8"/>
        <v>0.93270416666666667</v>
      </c>
      <c r="F17" s="134">
        <f t="shared" si="8"/>
        <v>1.0121458333333333</v>
      </c>
      <c r="G17" s="124">
        <f t="shared" si="8"/>
        <v>1.0121458333333333</v>
      </c>
      <c r="H17" s="124">
        <f t="shared" si="8"/>
        <v>0.87128416666666664</v>
      </c>
      <c r="I17" s="124">
        <f t="shared" si="8"/>
        <v>0.52693083333333335</v>
      </c>
      <c r="J17" s="124">
        <f t="shared" si="8"/>
        <v>0.53091416666666669</v>
      </c>
      <c r="K17" s="134">
        <f t="shared" si="8"/>
        <v>0.42478250000000001</v>
      </c>
      <c r="L17" s="124">
        <f t="shared" si="8"/>
        <v>0.39321083333333334</v>
      </c>
      <c r="M17" s="124">
        <f t="shared" si="8"/>
        <v>0.48302083333333334</v>
      </c>
      <c r="N17" s="124">
        <f t="shared" si="8"/>
        <v>0.65136416666666663</v>
      </c>
      <c r="O17" s="124">
        <f>O18/$P$1</f>
        <v>0.73144750000000003</v>
      </c>
      <c r="P17" s="124">
        <f t="shared" ref="P17:Z17" si="9">P18/$P$1</f>
        <v>0.81153083333333331</v>
      </c>
      <c r="Q17" s="124">
        <f t="shared" si="9"/>
        <v>0.88903083333333333</v>
      </c>
      <c r="R17" s="134">
        <f t="shared" si="9"/>
        <v>0.96911416666666672</v>
      </c>
      <c r="S17" s="124">
        <f t="shared" si="9"/>
        <v>0.96911416666666672</v>
      </c>
      <c r="T17" s="124">
        <f t="shared" si="9"/>
        <v>0.78911416666666667</v>
      </c>
      <c r="U17" s="124">
        <f t="shared" si="9"/>
        <v>0.55811416666666669</v>
      </c>
      <c r="V17" s="124">
        <f t="shared" si="9"/>
        <v>0.36911416666666669</v>
      </c>
      <c r="W17" s="134">
        <f t="shared" si="9"/>
        <v>0.34411416666666667</v>
      </c>
      <c r="X17" s="124">
        <f t="shared" si="9"/>
        <v>0.43161416666666669</v>
      </c>
      <c r="Y17" s="124">
        <f t="shared" si="9"/>
        <v>0.52203083333333333</v>
      </c>
      <c r="Z17" s="124">
        <f t="shared" si="9"/>
        <v>0.60953083333333336</v>
      </c>
      <c r="AA17" s="124">
        <f>AA18/$AB$1</f>
        <v>0.69994749999999994</v>
      </c>
      <c r="AB17" s="124">
        <f t="shared" ref="AB17:AI17" si="10">AB18/$AB$1</f>
        <v>0.79036416666666665</v>
      </c>
      <c r="AC17" s="124">
        <f t="shared" si="10"/>
        <v>0.87786416666666667</v>
      </c>
      <c r="AD17" s="134">
        <f t="shared" si="10"/>
        <v>0.96828083333333337</v>
      </c>
      <c r="AE17" s="124">
        <f t="shared" si="10"/>
        <v>0.96828083333333337</v>
      </c>
      <c r="AF17" s="124">
        <f t="shared" si="10"/>
        <v>0.78828083333333332</v>
      </c>
      <c r="AG17" s="124">
        <f t="shared" si="10"/>
        <v>0.55728083333333334</v>
      </c>
      <c r="AH17" s="124">
        <f t="shared" si="10"/>
        <v>0.36828083333333334</v>
      </c>
      <c r="AI17" s="134">
        <f t="shared" si="10"/>
        <v>0.34328083333333331</v>
      </c>
      <c r="AJ17" s="124">
        <f>AJ18/$AB$1</f>
        <v>0.43078083333333334</v>
      </c>
      <c r="AK17" s="124">
        <f>AK18/$AB$1</f>
        <v>0.52119749999999998</v>
      </c>
      <c r="AL17" s="124">
        <f>AL18/$AB$1</f>
        <v>0.6086975</v>
      </c>
    </row>
    <row r="18" spans="1:38">
      <c r="A18" s="4" t="s">
        <v>348</v>
      </c>
      <c r="B18" s="132">
        <v>399174.5</v>
      </c>
      <c r="C18" s="132">
        <f t="shared" ref="C18:Z18" si="11">+B18+C6+C11</f>
        <v>444858.5</v>
      </c>
      <c r="D18" s="132">
        <f t="shared" si="11"/>
        <v>523505.5</v>
      </c>
      <c r="E18" s="132">
        <f t="shared" si="11"/>
        <v>559622.5</v>
      </c>
      <c r="F18" s="132">
        <f t="shared" si="11"/>
        <v>607287.5</v>
      </c>
      <c r="G18" s="132">
        <f t="shared" si="11"/>
        <v>607287.5</v>
      </c>
      <c r="H18" s="132">
        <f t="shared" si="11"/>
        <v>522770.5</v>
      </c>
      <c r="I18" s="132">
        <f t="shared" si="11"/>
        <v>316158.5</v>
      </c>
      <c r="J18" s="22">
        <f t="shared" si="11"/>
        <v>318548.5</v>
      </c>
      <c r="K18" s="22">
        <f t="shared" si="11"/>
        <v>254869.5</v>
      </c>
      <c r="L18" s="22">
        <f t="shared" si="11"/>
        <v>235926.5</v>
      </c>
      <c r="M18" s="22">
        <f t="shared" si="11"/>
        <v>289812.5</v>
      </c>
      <c r="N18" s="22">
        <f t="shared" si="11"/>
        <v>390818.5</v>
      </c>
      <c r="O18" s="22">
        <f t="shared" si="11"/>
        <v>438868.5</v>
      </c>
      <c r="P18" s="22">
        <f t="shared" si="11"/>
        <v>486918.5</v>
      </c>
      <c r="Q18" s="22">
        <f t="shared" si="11"/>
        <v>533418.5</v>
      </c>
      <c r="R18" s="22">
        <f t="shared" si="11"/>
        <v>581468.5</v>
      </c>
      <c r="S18" s="22">
        <f t="shared" si="11"/>
        <v>581468.5</v>
      </c>
      <c r="T18" s="22">
        <f t="shared" si="11"/>
        <v>473468.5</v>
      </c>
      <c r="U18" s="22">
        <f t="shared" si="11"/>
        <v>334868.5</v>
      </c>
      <c r="V18" s="22">
        <f t="shared" si="11"/>
        <v>221468.5</v>
      </c>
      <c r="W18" s="22">
        <f t="shared" si="11"/>
        <v>206468.5</v>
      </c>
      <c r="X18" s="22">
        <f t="shared" si="11"/>
        <v>258968.5</v>
      </c>
      <c r="Y18" s="22">
        <f t="shared" si="11"/>
        <v>313218.5</v>
      </c>
      <c r="Z18" s="22">
        <f t="shared" si="11"/>
        <v>365718.5</v>
      </c>
      <c r="AA18" s="22">
        <f t="shared" ref="AA18:AL18" si="12">+Z18+AA6+AA11</f>
        <v>419968.5</v>
      </c>
      <c r="AB18" s="22">
        <f t="shared" si="12"/>
        <v>474218.5</v>
      </c>
      <c r="AC18" s="22">
        <f t="shared" si="12"/>
        <v>526718.5</v>
      </c>
      <c r="AD18" s="22">
        <f t="shared" si="12"/>
        <v>580968.5</v>
      </c>
      <c r="AE18" s="22">
        <f t="shared" si="12"/>
        <v>580968.5</v>
      </c>
      <c r="AF18" s="22">
        <f t="shared" si="12"/>
        <v>472968.5</v>
      </c>
      <c r="AG18" s="22">
        <f t="shared" si="12"/>
        <v>334368.5</v>
      </c>
      <c r="AH18" s="22">
        <f t="shared" si="12"/>
        <v>220968.5</v>
      </c>
      <c r="AI18" s="22">
        <f t="shared" si="12"/>
        <v>205968.5</v>
      </c>
      <c r="AJ18" s="22">
        <f t="shared" si="12"/>
        <v>258468.5</v>
      </c>
      <c r="AK18" s="22">
        <f t="shared" si="12"/>
        <v>312718.5</v>
      </c>
      <c r="AL18" s="22">
        <f t="shared" si="12"/>
        <v>365218.5</v>
      </c>
    </row>
    <row r="19" spans="1:38" s="32" customFormat="1">
      <c r="A19" s="4" t="s">
        <v>349</v>
      </c>
      <c r="B19" s="188">
        <v>2078756.1018736849</v>
      </c>
      <c r="C19" s="188">
        <f t="shared" ref="C19:Z19" si="13">+B19+C8+C13</f>
        <v>2301046.7391639217</v>
      </c>
      <c r="D19" s="188">
        <f t="shared" si="13"/>
        <v>2688861.2191443434</v>
      </c>
      <c r="E19" s="188">
        <f t="shared" si="13"/>
        <v>2822537.3763880893</v>
      </c>
      <c r="F19" s="188">
        <f t="shared" si="13"/>
        <v>3009007.4622002398</v>
      </c>
      <c r="G19" s="188">
        <f t="shared" si="13"/>
        <v>3009007.4622002398</v>
      </c>
      <c r="H19" s="188">
        <f>+G19+H8+H13+H16</f>
        <v>2671444.6762302043</v>
      </c>
      <c r="I19" s="188">
        <f t="shared" si="13"/>
        <v>1615622.8051696243</v>
      </c>
      <c r="J19" s="32">
        <f t="shared" si="13"/>
        <v>1596633.4237548898</v>
      </c>
      <c r="K19" s="32">
        <f t="shared" si="13"/>
        <v>1277460.6139903245</v>
      </c>
      <c r="L19" s="32">
        <f t="shared" si="13"/>
        <v>1171882.0710682243</v>
      </c>
      <c r="M19" s="32">
        <f t="shared" si="13"/>
        <v>1417313.8271245621</v>
      </c>
      <c r="N19" s="32">
        <f t="shared" si="13"/>
        <v>1869712.1469363503</v>
      </c>
      <c r="O19" s="32">
        <f t="shared" si="13"/>
        <v>2084735.8969363503</v>
      </c>
      <c r="P19" s="32">
        <f t="shared" si="13"/>
        <v>2298077.8969363505</v>
      </c>
      <c r="Q19" s="32">
        <f t="shared" si="13"/>
        <v>2487286.3969363505</v>
      </c>
      <c r="R19" s="32">
        <f t="shared" si="13"/>
        <v>2686453.6469363505</v>
      </c>
      <c r="S19" s="32">
        <f t="shared" si="13"/>
        <v>2686453.6469363505</v>
      </c>
      <c r="T19" s="32">
        <f t="shared" si="13"/>
        <v>2187480.7982452763</v>
      </c>
      <c r="U19" s="32">
        <f t="shared" si="13"/>
        <v>1547132.3090917312</v>
      </c>
      <c r="V19" s="32">
        <f t="shared" si="13"/>
        <v>1023210.8179661033</v>
      </c>
      <c r="W19" s="32">
        <f t="shared" si="13"/>
        <v>953909.0334256764</v>
      </c>
      <c r="X19" s="32">
        <f t="shared" si="13"/>
        <v>1188479.0334256764</v>
      </c>
      <c r="Y19" s="32">
        <f t="shared" si="13"/>
        <v>1432278.5334256764</v>
      </c>
      <c r="Z19" s="32">
        <f t="shared" si="13"/>
        <v>1669893.5334256764</v>
      </c>
      <c r="AA19" s="32">
        <f t="shared" ref="AA19:AL19" si="14">+Z19+AA8+AA13</f>
        <v>1917544.7834256764</v>
      </c>
      <c r="AB19" s="32">
        <f t="shared" si="14"/>
        <v>2166498.0334256762</v>
      </c>
      <c r="AC19" s="32">
        <f t="shared" si="14"/>
        <v>2407630.5334256762</v>
      </c>
      <c r="AD19" s="32">
        <f t="shared" si="14"/>
        <v>2658536.7834256762</v>
      </c>
      <c r="AE19" s="32">
        <f t="shared" si="14"/>
        <v>2658536.7834256762</v>
      </c>
      <c r="AF19" s="32">
        <f t="shared" si="14"/>
        <v>2164324.1495049507</v>
      </c>
      <c r="AG19" s="32">
        <f t="shared" si="14"/>
        <v>1530084.6026400197</v>
      </c>
      <c r="AH19" s="32">
        <f t="shared" si="14"/>
        <v>1011161.3370232577</v>
      </c>
      <c r="AI19" s="32">
        <f t="shared" si="14"/>
        <v>942520.69342315698</v>
      </c>
      <c r="AJ19" s="32">
        <f t="shared" si="14"/>
        <v>1194966.9434231569</v>
      </c>
      <c r="AK19" s="32">
        <f t="shared" si="14"/>
        <v>1456479.0684231569</v>
      </c>
      <c r="AL19" s="32">
        <f t="shared" si="14"/>
        <v>1711392.8184231569</v>
      </c>
    </row>
    <row r="20" spans="1:38">
      <c r="A20" s="4" t="s">
        <v>65</v>
      </c>
      <c r="B20" s="20">
        <f t="shared" ref="B20:Z20" si="15">+B19/B18</f>
        <v>5.2076375166091147</v>
      </c>
      <c r="C20" s="20">
        <f t="shared" si="15"/>
        <v>5.1725362989892778</v>
      </c>
      <c r="D20" s="20">
        <f t="shared" si="15"/>
        <v>5.1362616422260006</v>
      </c>
      <c r="E20" s="20">
        <f t="shared" si="15"/>
        <v>5.0436452722828147</v>
      </c>
      <c r="F20" s="135">
        <f t="shared" si="15"/>
        <v>4.9548318748537383</v>
      </c>
      <c r="G20" s="20">
        <f t="shared" si="15"/>
        <v>4.9548318748537383</v>
      </c>
      <c r="H20" s="20">
        <f t="shared" si="15"/>
        <v>5.1101672267853759</v>
      </c>
      <c r="I20" s="20">
        <f t="shared" si="15"/>
        <v>5.1101672267853759</v>
      </c>
      <c r="J20" s="20">
        <f t="shared" si="15"/>
        <v>5.0122145411291834</v>
      </c>
      <c r="K20" s="20">
        <f t="shared" si="15"/>
        <v>5.0122145411291843</v>
      </c>
      <c r="L20" s="20">
        <f t="shared" si="15"/>
        <v>4.9671489682940422</v>
      </c>
      <c r="M20" s="20">
        <f t="shared" si="15"/>
        <v>4.8904509885686851</v>
      </c>
      <c r="N20" s="20">
        <f t="shared" si="15"/>
        <v>4.7840932477258633</v>
      </c>
      <c r="O20" s="20">
        <f t="shared" si="15"/>
        <v>4.7502518338325723</v>
      </c>
      <c r="P20" s="20">
        <f t="shared" si="15"/>
        <v>4.7196356206148469</v>
      </c>
      <c r="Q20" s="20">
        <f t="shared" si="15"/>
        <v>4.6629173846357981</v>
      </c>
      <c r="R20" s="135">
        <f t="shared" si="15"/>
        <v>4.6201189693617977</v>
      </c>
      <c r="S20" s="20">
        <f t="shared" si="15"/>
        <v>4.6201189693617977</v>
      </c>
      <c r="T20" s="20">
        <f t="shared" si="15"/>
        <v>4.6201189693617977</v>
      </c>
      <c r="U20" s="20">
        <f t="shared" si="15"/>
        <v>4.6201189693617977</v>
      </c>
      <c r="V20" s="20">
        <f t="shared" si="15"/>
        <v>4.6201189693617977</v>
      </c>
      <c r="W20" s="20">
        <f t="shared" si="15"/>
        <v>4.6201189693617977</v>
      </c>
      <c r="X20" s="20">
        <f t="shared" si="15"/>
        <v>4.5892802924899225</v>
      </c>
      <c r="Y20" s="20">
        <f t="shared" si="15"/>
        <v>4.5727775767576828</v>
      </c>
      <c r="Z20" s="20">
        <f t="shared" si="15"/>
        <v>4.5660625137248356</v>
      </c>
      <c r="AA20" s="20">
        <f t="shared" ref="AA20:AL20" si="16">+AA19/AA18</f>
        <v>4.5659252620748374</v>
      </c>
      <c r="AB20" s="20">
        <f t="shared" si="16"/>
        <v>4.5685649830735748</v>
      </c>
      <c r="AC20" s="20">
        <f t="shared" si="16"/>
        <v>4.5710005124666706</v>
      </c>
      <c r="AD20" s="135">
        <f t="shared" si="16"/>
        <v>4.5760429066733845</v>
      </c>
      <c r="AE20" s="20">
        <f t="shared" si="16"/>
        <v>4.5760429066733845</v>
      </c>
      <c r="AF20" s="20">
        <f t="shared" si="16"/>
        <v>4.5760429066733845</v>
      </c>
      <c r="AG20" s="20">
        <f t="shared" si="16"/>
        <v>4.5760429066733854</v>
      </c>
      <c r="AH20" s="20">
        <f t="shared" si="16"/>
        <v>4.5760429066733845</v>
      </c>
      <c r="AI20" s="20">
        <f t="shared" si="16"/>
        <v>4.5760429066733845</v>
      </c>
      <c r="AJ20" s="20">
        <f t="shared" si="16"/>
        <v>4.6232594819993809</v>
      </c>
      <c r="AK20" s="20">
        <f t="shared" si="16"/>
        <v>4.6574765113773466</v>
      </c>
      <c r="AL20" s="20">
        <f t="shared" si="16"/>
        <v>4.6859423014528474</v>
      </c>
    </row>
    <row r="21" spans="1:38">
      <c r="A21" s="112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0"/>
      <c r="N21" s="20"/>
      <c r="O21" s="20"/>
      <c r="P21" s="20"/>
      <c r="Q21" s="20"/>
      <c r="R21" s="182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</row>
    <row r="22" spans="1:38">
      <c r="A22" s="31" t="s">
        <v>451</v>
      </c>
      <c r="B22" s="132">
        <f>+'GSS-97'!B22</f>
        <v>399174.5</v>
      </c>
      <c r="C22" s="132">
        <f>+'GSS-97'!C22</f>
        <v>431290.5</v>
      </c>
      <c r="D22" s="132">
        <f>+'GSS-97'!D22</f>
        <v>487683</v>
      </c>
      <c r="E22" s="132">
        <f>+'GSS-97'!E22</f>
        <v>527987</v>
      </c>
      <c r="F22" s="132">
        <f>+'GSS-97'!F22</f>
        <v>597064</v>
      </c>
      <c r="G22" s="132">
        <f>+'GSS-97'!G22</f>
        <v>591614</v>
      </c>
      <c r="H22" s="132">
        <f>+'GSS-97'!H22</f>
        <v>482650</v>
      </c>
      <c r="I22" s="132">
        <f>+'GSS-97'!I22</f>
        <v>335764.5</v>
      </c>
      <c r="J22" s="132">
        <f>+'GSS-97'!J22</f>
        <v>317655</v>
      </c>
      <c r="K22" s="439">
        <f>+'GSS-97'!K22</f>
        <v>228169.5</v>
      </c>
      <c r="L22" s="439">
        <f>+'GSS-97'!L22</f>
        <v>252028</v>
      </c>
      <c r="M22" s="439">
        <f>+'GSS-97'!M22</f>
        <v>278971</v>
      </c>
      <c r="N22" s="439">
        <f>+'GSS-97'!N22</f>
        <v>367246</v>
      </c>
      <c r="O22" s="20"/>
      <c r="P22" s="20"/>
      <c r="Q22" s="20"/>
      <c r="R22" s="182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</row>
    <row r="23" spans="1:38">
      <c r="A23" s="112" t="s">
        <v>449</v>
      </c>
      <c r="B23" s="188">
        <f>+'GSS-97'!B23</f>
        <v>2078756.1018736849</v>
      </c>
      <c r="C23" s="188">
        <f>+'GSS-97'!C23</f>
        <v>2237446.1760736848</v>
      </c>
      <c r="D23" s="188">
        <f>+'GSS-97'!D23</f>
        <v>2520515.0710736848</v>
      </c>
      <c r="E23" s="188">
        <f>+'GSS-97'!E23</f>
        <v>2676725.4750000001</v>
      </c>
      <c r="F23" s="188">
        <f>+'GSS-97'!F23</f>
        <v>2968189.2008105</v>
      </c>
      <c r="G23" s="188">
        <f>+'GSS-97'!G23</f>
        <v>2941095.8583476651</v>
      </c>
      <c r="H23" s="188">
        <f>+'GSS-97'!H23</f>
        <v>2399155.6281922348</v>
      </c>
      <c r="I23" s="188">
        <f>+'GSS-97'!I23</f>
        <v>1669017.3141314851</v>
      </c>
      <c r="J23" s="188">
        <f>+'GSS-97'!J23</f>
        <v>1577069.8216077001</v>
      </c>
      <c r="K23" s="437">
        <f>+'GSS-97'!K23</f>
        <v>1132797.4367933951</v>
      </c>
      <c r="L23" s="437">
        <f>+'GSS-97'!L23</f>
        <v>1218788.8447494749</v>
      </c>
      <c r="M23" s="437">
        <f>+'GSS-97'!M23</f>
        <v>1338801.049749475</v>
      </c>
      <c r="N23" s="437">
        <f>+'GSS-97'!N23</f>
        <v>1727590.632249475</v>
      </c>
      <c r="O23" s="20"/>
      <c r="P23" s="20"/>
      <c r="Q23" s="20"/>
      <c r="R23" s="182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</row>
    <row r="24" spans="1:38">
      <c r="A24" s="1" t="s">
        <v>746</v>
      </c>
      <c r="B24" s="17">
        <f>+'GSS-97'!B24</f>
        <v>5.2076375166091147</v>
      </c>
      <c r="C24" s="17">
        <f>+'GSS-97'!C24</f>
        <v>5.1877937864935229</v>
      </c>
      <c r="D24" s="17">
        <f>+'GSS-97'!D24</f>
        <v>5.1683472072507852</v>
      </c>
      <c r="E24" s="17">
        <f>+'GSS-97'!E24</f>
        <v>5.0696806455461969</v>
      </c>
      <c r="F24" s="17">
        <f>+'GSS-97'!F24</f>
        <v>4.9713082698178086</v>
      </c>
      <c r="G24" s="17">
        <f>+'GSS-97'!G24</f>
        <v>4.9713087559585558</v>
      </c>
      <c r="H24" s="17">
        <f>+'GSS-97'!H24</f>
        <v>4.9707979450787008</v>
      </c>
      <c r="I24" s="17">
        <f>+'GSS-97'!I24</f>
        <v>4.970797431329057</v>
      </c>
      <c r="J24" s="17">
        <f>+'GSS-97'!J24</f>
        <v>4.9647253202616044</v>
      </c>
      <c r="K24" s="17">
        <f>+'GSS-97'!K24</f>
        <v>4.9647189339214712</v>
      </c>
      <c r="L24" s="17">
        <f>+'GSS-97'!L24</f>
        <v>4.8359263444913854</v>
      </c>
      <c r="M24" s="17">
        <f>+'GSS-97'!M24</f>
        <v>4.7990688987366967</v>
      </c>
      <c r="N24" s="17">
        <f>+'GSS-97'!N24</f>
        <v>4.7041782136482766</v>
      </c>
      <c r="O24" s="20"/>
      <c r="P24" s="20"/>
      <c r="Q24" s="20"/>
      <c r="R24" s="182"/>
      <c r="S24" s="20"/>
      <c r="T24" s="20"/>
      <c r="U24" s="20"/>
      <c r="V24" s="20"/>
      <c r="W24" s="20"/>
      <c r="X24" s="20"/>
      <c r="Y24" s="20"/>
      <c r="Z24" s="20"/>
    </row>
    <row r="25" spans="1:38" s="22" customFormat="1">
      <c r="A25" s="1"/>
      <c r="B25" s="29"/>
      <c r="R25" s="131"/>
    </row>
    <row r="26" spans="1:38" s="108" customFormat="1" ht="18.75" customHeight="1">
      <c r="A26" s="105" t="s">
        <v>452</v>
      </c>
      <c r="B26" s="108">
        <f t="shared" ref="B26:C28" si="17">B18-B22</f>
        <v>0</v>
      </c>
      <c r="C26" s="108">
        <f t="shared" si="17"/>
        <v>13568</v>
      </c>
      <c r="D26" s="108">
        <f t="shared" ref="D26:E28" si="18">D18-D22</f>
        <v>35822.5</v>
      </c>
      <c r="E26" s="108">
        <f t="shared" si="18"/>
        <v>31635.5</v>
      </c>
      <c r="F26" s="108">
        <f t="shared" ref="F26:G28" si="19">F18-F22</f>
        <v>10223.5</v>
      </c>
      <c r="G26" s="108">
        <f t="shared" si="19"/>
        <v>15673.5</v>
      </c>
      <c r="H26" s="108">
        <f t="shared" ref="H26:I28" si="20">H18-H22</f>
        <v>40120.5</v>
      </c>
      <c r="I26" s="108">
        <f t="shared" si="20"/>
        <v>-19606</v>
      </c>
      <c r="J26" s="108">
        <f t="shared" ref="J26:K28" si="21">J18-J22</f>
        <v>893.5</v>
      </c>
      <c r="K26" s="108">
        <f t="shared" si="21"/>
        <v>26700</v>
      </c>
      <c r="L26" s="108">
        <f t="shared" ref="L26:M26" si="22">L18-L22</f>
        <v>-16101.5</v>
      </c>
      <c r="M26" s="108">
        <f t="shared" si="22"/>
        <v>10841.5</v>
      </c>
      <c r="N26" s="108">
        <f t="shared" ref="N26" si="23">N18-N22</f>
        <v>23572.5</v>
      </c>
      <c r="R26" s="214"/>
    </row>
    <row r="27" spans="1:38" s="30" customFormat="1">
      <c r="A27" s="110" t="s">
        <v>453</v>
      </c>
      <c r="B27" s="30">
        <f t="shared" si="17"/>
        <v>0</v>
      </c>
      <c r="C27" s="30">
        <f t="shared" si="17"/>
        <v>63600.563090236858</v>
      </c>
      <c r="D27" s="30">
        <f t="shared" si="18"/>
        <v>168346.14807065856</v>
      </c>
      <c r="E27" s="30">
        <f t="shared" si="18"/>
        <v>145811.90138808917</v>
      </c>
      <c r="F27" s="30">
        <f t="shared" si="19"/>
        <v>40818.261389739811</v>
      </c>
      <c r="G27" s="30">
        <f t="shared" si="19"/>
        <v>67911.603852574714</v>
      </c>
      <c r="H27" s="30">
        <f t="shared" si="20"/>
        <v>272289.04803796951</v>
      </c>
      <c r="I27" s="30">
        <f t="shared" si="20"/>
        <v>-53394.508961860789</v>
      </c>
      <c r="J27" s="30">
        <f t="shared" si="21"/>
        <v>19563.602147189667</v>
      </c>
      <c r="K27" s="30">
        <f t="shared" si="21"/>
        <v>144663.17719692946</v>
      </c>
      <c r="L27" s="30">
        <f t="shared" ref="L27:M27" si="24">L19-L23</f>
        <v>-46906.773681250634</v>
      </c>
      <c r="M27" s="30">
        <f t="shared" si="24"/>
        <v>78512.777375087142</v>
      </c>
      <c r="N27" s="30">
        <f t="shared" ref="N27" si="25">N19-N23</f>
        <v>142121.51468687528</v>
      </c>
      <c r="R27" s="192"/>
    </row>
    <row r="28" spans="1:38">
      <c r="A28" s="198" t="s">
        <v>747</v>
      </c>
      <c r="B28" s="29">
        <f t="shared" si="17"/>
        <v>0</v>
      </c>
      <c r="C28" s="29">
        <f t="shared" si="17"/>
        <v>-1.5257487504245049E-2</v>
      </c>
      <c r="D28" s="29">
        <f t="shared" si="18"/>
        <v>-3.2085565024784657E-2</v>
      </c>
      <c r="E28" s="29">
        <f t="shared" si="18"/>
        <v>-2.6035373263382233E-2</v>
      </c>
      <c r="F28" s="29">
        <f t="shared" si="19"/>
        <v>-1.6476394964070273E-2</v>
      </c>
      <c r="G28" s="29">
        <f t="shared" si="19"/>
        <v>-1.6476881104817487E-2</v>
      </c>
      <c r="H28" s="29">
        <f t="shared" si="20"/>
        <v>0.13936928170667517</v>
      </c>
      <c r="I28" s="29">
        <f t="shared" si="20"/>
        <v>0.13936979545631889</v>
      </c>
      <c r="J28" s="29">
        <f t="shared" si="21"/>
        <v>4.7489220867579007E-2</v>
      </c>
      <c r="K28" s="29">
        <f t="shared" si="21"/>
        <v>4.7495607207713064E-2</v>
      </c>
      <c r="L28" s="29">
        <f t="shared" ref="L28:M28" si="26">L20-L24</f>
        <v>0.13122262380265681</v>
      </c>
      <c r="M28" s="29">
        <f t="shared" si="26"/>
        <v>9.1382089831988367E-2</v>
      </c>
      <c r="N28" s="29">
        <f t="shared" ref="N28" si="27">N20-N24</f>
        <v>7.9915034077586711E-2</v>
      </c>
      <c r="O28" s="20"/>
      <c r="P28" s="20"/>
      <c r="Q28" s="20"/>
      <c r="R28" s="182"/>
      <c r="S28" s="20"/>
      <c r="T28" s="20"/>
      <c r="U28" s="20"/>
      <c r="V28" s="20"/>
      <c r="W28" s="20"/>
      <c r="X28" s="20"/>
      <c r="Y28" s="20"/>
      <c r="Z28" s="20"/>
    </row>
    <row r="29" spans="1:38">
      <c r="A29" s="198"/>
      <c r="B29" s="29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182"/>
      <c r="S29" s="20"/>
      <c r="T29" s="20"/>
      <c r="U29" s="20"/>
      <c r="V29" s="20"/>
      <c r="W29" s="20"/>
      <c r="X29" s="20"/>
      <c r="Y29" s="20"/>
      <c r="Z29" s="20"/>
    </row>
    <row r="30" spans="1:38" s="22" customFormat="1" ht="18.75" customHeight="1">
      <c r="A30" s="31" t="s">
        <v>288</v>
      </c>
      <c r="B30" s="28"/>
      <c r="C30" s="132">
        <v>421406</v>
      </c>
      <c r="D30" s="132">
        <v>500053</v>
      </c>
      <c r="E30" s="132">
        <v>536170</v>
      </c>
      <c r="F30" s="132">
        <v>594128</v>
      </c>
      <c r="G30" s="132">
        <v>594128</v>
      </c>
      <c r="H30" s="132">
        <v>509611</v>
      </c>
      <c r="I30" s="132">
        <v>302999</v>
      </c>
      <c r="J30" s="132">
        <v>305389</v>
      </c>
      <c r="K30" s="439">
        <v>241710</v>
      </c>
      <c r="L30" s="439">
        <v>222767</v>
      </c>
      <c r="M30" s="439">
        <v>276653</v>
      </c>
      <c r="N30" s="439">
        <v>377659</v>
      </c>
      <c r="R30" s="131"/>
    </row>
    <row r="31" spans="1:38">
      <c r="A31" s="1" t="s">
        <v>287</v>
      </c>
      <c r="B31" s="107"/>
      <c r="C31" s="107">
        <f t="shared" ref="C31:N31" si="28">C18-C30</f>
        <v>23452.5</v>
      </c>
      <c r="D31" s="107">
        <f t="shared" si="28"/>
        <v>23452.5</v>
      </c>
      <c r="E31" s="107">
        <f t="shared" si="28"/>
        <v>23452.5</v>
      </c>
      <c r="F31" s="107">
        <f t="shared" si="28"/>
        <v>13159.5</v>
      </c>
      <c r="G31" s="107">
        <f t="shared" si="28"/>
        <v>13159.5</v>
      </c>
      <c r="H31" s="107">
        <f t="shared" si="28"/>
        <v>13159.5</v>
      </c>
      <c r="I31" s="107">
        <f t="shared" si="28"/>
        <v>13159.5</v>
      </c>
      <c r="J31" s="107">
        <f t="shared" si="28"/>
        <v>13159.5</v>
      </c>
      <c r="K31" s="107">
        <f t="shared" si="28"/>
        <v>13159.5</v>
      </c>
      <c r="L31" s="107">
        <f t="shared" si="28"/>
        <v>13159.5</v>
      </c>
      <c r="M31" s="107">
        <f t="shared" si="28"/>
        <v>13159.5</v>
      </c>
      <c r="N31" s="107">
        <f t="shared" si="28"/>
        <v>13159.5</v>
      </c>
      <c r="O31" s="20"/>
      <c r="P31" s="20"/>
      <c r="Q31" s="20"/>
      <c r="R31" s="182"/>
      <c r="S31" s="20"/>
      <c r="T31" s="20"/>
      <c r="U31" s="20"/>
      <c r="V31" s="20"/>
      <c r="W31" s="20"/>
      <c r="X31" s="20"/>
      <c r="Y31" s="20"/>
      <c r="Z31" s="2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:AN41"/>
  <sheetViews>
    <sheetView topLeftCell="D1" zoomScale="50" workbookViewId="0">
      <selection activeCell="N18" sqref="N18:N19"/>
    </sheetView>
  </sheetViews>
  <sheetFormatPr defaultRowHeight="20.25"/>
  <cols>
    <col min="1" max="1" width="41.21875" style="4" bestFit="1" customWidth="1"/>
    <col min="2" max="2" width="19.21875" style="10" bestFit="1" customWidth="1"/>
    <col min="3" max="3" width="18.33203125" style="10" customWidth="1"/>
    <col min="4" max="7" width="15.88671875" style="10" bestFit="1" customWidth="1"/>
    <col min="8" max="10" width="15.44140625" style="10" bestFit="1" customWidth="1"/>
    <col min="11" max="11" width="15.109375" style="10" bestFit="1" customWidth="1"/>
    <col min="12" max="22" width="15" style="10" bestFit="1" customWidth="1"/>
    <col min="23" max="23" width="13.44140625" style="10" bestFit="1" customWidth="1"/>
    <col min="24" max="26" width="15" style="10" bestFit="1" customWidth="1"/>
    <col min="27" max="27" width="14.33203125" style="10" bestFit="1" customWidth="1"/>
    <col min="28" max="34" width="15" style="10" bestFit="1" customWidth="1"/>
    <col min="35" max="35" width="13.44140625" style="10" customWidth="1"/>
    <col min="36" max="38" width="15" style="10" bestFit="1" customWidth="1"/>
    <col min="39" max="39" width="14.33203125" style="10" bestFit="1" customWidth="1"/>
    <col min="40" max="40" width="12.109375" style="10" bestFit="1" customWidth="1"/>
    <col min="41" max="16384" width="8.88671875" style="10"/>
  </cols>
  <sheetData>
    <row r="1" spans="1:40">
      <c r="C1" s="13" t="s">
        <v>55</v>
      </c>
      <c r="D1" s="28">
        <f>SUM('GSS-09'!D1,'GSS-97'!D1,'GSS-62'!D1)</f>
        <v>1762659</v>
      </c>
      <c r="E1" s="24"/>
      <c r="F1" s="24"/>
      <c r="G1" s="24"/>
      <c r="H1" s="24"/>
      <c r="I1" s="28"/>
      <c r="J1" s="24"/>
      <c r="K1" s="24"/>
      <c r="L1" s="24"/>
      <c r="M1" s="24"/>
      <c r="N1" s="24"/>
      <c r="O1" s="13" t="s">
        <v>55</v>
      </c>
      <c r="P1" s="28">
        <f>SUM('GSS-09'!P1,'GSS-97'!P1,'GSS-62'!P1)</f>
        <v>1762659</v>
      </c>
      <c r="AA1" s="13" t="s">
        <v>55</v>
      </c>
      <c r="AB1" s="28">
        <f>SUM('GSS-09'!AB1,'GSS-97'!AB1,'GSS-62'!AB1)</f>
        <v>1762659</v>
      </c>
      <c r="AM1" s="13" t="s">
        <v>55</v>
      </c>
      <c r="AN1" s="28">
        <f>SUM('GSS-09'!AN1,'GSS-97'!AN1,'GSS-62'!AN1)</f>
        <v>1762659</v>
      </c>
    </row>
    <row r="2" spans="1:40">
      <c r="C2" s="131" t="s">
        <v>448</v>
      </c>
      <c r="D2" s="28">
        <f>SUM('GSS-09'!D2,'GSS-97'!D2,'GSS-62'!D2)</f>
        <v>4100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131" t="s">
        <v>759</v>
      </c>
      <c r="P2" s="28">
        <f>SUM('GSS-09'!P2,'GSS-97'!P2,'GSS-62'!P2)</f>
        <v>4950</v>
      </c>
      <c r="AA2" s="131" t="s">
        <v>760</v>
      </c>
      <c r="AB2" s="28">
        <f>SUM('GSS-09'!AB2,'GSS-97'!AB2,'GSS-62'!AB2)</f>
        <v>5150</v>
      </c>
      <c r="AM2" s="131" t="s">
        <v>871</v>
      </c>
      <c r="AN2" s="28">
        <f>SUM('GSS-09'!AN2,'GSS-97'!AN2,'GSS-62'!AN2)</f>
        <v>5150</v>
      </c>
    </row>
    <row r="3" spans="1:40">
      <c r="A3" s="4" t="s">
        <v>1</v>
      </c>
      <c r="B3" s="10">
        <v>30</v>
      </c>
      <c r="C3" s="24">
        <v>31</v>
      </c>
      <c r="D3" s="24">
        <v>31</v>
      </c>
      <c r="E3" s="24">
        <v>30</v>
      </c>
      <c r="F3" s="24">
        <v>31</v>
      </c>
      <c r="G3" s="24"/>
      <c r="H3" s="24"/>
      <c r="I3" s="24"/>
      <c r="J3" s="24"/>
      <c r="K3" s="24"/>
      <c r="L3" s="24">
        <v>30</v>
      </c>
      <c r="M3" s="24">
        <v>31</v>
      </c>
      <c r="N3" s="24">
        <v>30</v>
      </c>
      <c r="O3" s="24">
        <v>31</v>
      </c>
      <c r="P3" s="24">
        <v>31</v>
      </c>
      <c r="Q3" s="10">
        <v>30</v>
      </c>
      <c r="R3" s="10">
        <v>31</v>
      </c>
      <c r="X3" s="10">
        <v>30</v>
      </c>
      <c r="Y3" s="10">
        <v>31</v>
      </c>
      <c r="Z3" s="10">
        <v>30</v>
      </c>
      <c r="AA3" s="10">
        <v>31</v>
      </c>
      <c r="AB3" s="10">
        <v>31</v>
      </c>
      <c r="AC3" s="10">
        <v>30</v>
      </c>
      <c r="AD3" s="10">
        <v>31</v>
      </c>
    </row>
    <row r="4" spans="1:40">
      <c r="B4" s="46">
        <v>39965</v>
      </c>
      <c r="C4" s="46">
        <v>39995</v>
      </c>
      <c r="D4" s="46">
        <v>40026</v>
      </c>
      <c r="E4" s="46">
        <v>40057</v>
      </c>
      <c r="F4" s="46">
        <v>40087</v>
      </c>
      <c r="G4" s="46">
        <v>40118</v>
      </c>
      <c r="H4" s="46">
        <v>40148</v>
      </c>
      <c r="I4" s="46">
        <v>40179</v>
      </c>
      <c r="J4" s="46">
        <v>40210</v>
      </c>
      <c r="K4" s="46">
        <v>40238</v>
      </c>
      <c r="L4" s="46">
        <v>40269</v>
      </c>
      <c r="M4" s="46">
        <v>40299</v>
      </c>
      <c r="N4" s="46">
        <v>40330</v>
      </c>
      <c r="O4" s="46">
        <v>40360</v>
      </c>
      <c r="P4" s="46">
        <v>40391</v>
      </c>
      <c r="Q4" s="46">
        <v>40422</v>
      </c>
      <c r="R4" s="46">
        <v>40452</v>
      </c>
      <c r="S4" s="46">
        <v>40483</v>
      </c>
      <c r="T4" s="46">
        <v>40513</v>
      </c>
      <c r="U4" s="46">
        <v>40544</v>
      </c>
      <c r="V4" s="46">
        <v>40575</v>
      </c>
      <c r="W4" s="46">
        <v>40603</v>
      </c>
      <c r="X4" s="46">
        <v>40634</v>
      </c>
      <c r="Y4" s="46">
        <v>40664</v>
      </c>
      <c r="Z4" s="46">
        <v>40695</v>
      </c>
      <c r="AA4" s="46">
        <v>40725</v>
      </c>
      <c r="AB4" s="46">
        <v>40756</v>
      </c>
      <c r="AC4" s="46">
        <v>40787</v>
      </c>
      <c r="AD4" s="46">
        <v>40817</v>
      </c>
      <c r="AE4" s="46">
        <v>40848</v>
      </c>
      <c r="AF4" s="46">
        <v>40878</v>
      </c>
      <c r="AG4" s="46">
        <v>40909</v>
      </c>
      <c r="AH4" s="46">
        <v>40940</v>
      </c>
      <c r="AI4" s="46">
        <v>40969</v>
      </c>
      <c r="AJ4" s="46">
        <v>41000</v>
      </c>
      <c r="AK4" s="46">
        <v>41030</v>
      </c>
      <c r="AL4" s="46">
        <v>41061</v>
      </c>
      <c r="AM4" s="46">
        <v>41091</v>
      </c>
    </row>
    <row r="5" spans="1:40">
      <c r="A5" s="4" t="s">
        <v>346</v>
      </c>
      <c r="B5" s="46"/>
      <c r="C5" s="28">
        <f>SUM('GSS-09'!C5,'GSS-97'!C5,'GSS-62'!C5)</f>
        <v>127100</v>
      </c>
      <c r="D5" s="28">
        <f>SUM('GSS-09'!D5,'GSS-97'!D5,'GSS-62'!D5)</f>
        <v>127100</v>
      </c>
      <c r="E5" s="28">
        <f>SUM('GSS-09'!E5,'GSS-97'!E5,'GSS-62'!E5)</f>
        <v>123000</v>
      </c>
      <c r="F5" s="28">
        <f>SUM('GSS-09'!F5,'GSS-97'!F5,'GSS-62'!F5)</f>
        <v>127100</v>
      </c>
      <c r="G5" s="28"/>
      <c r="H5" s="28"/>
      <c r="I5" s="28"/>
      <c r="J5" s="28"/>
      <c r="K5" s="28"/>
      <c r="L5" s="28">
        <f>SUM('GSS-09'!L5,'GSS-97'!L5,'GSS-62'!L5)</f>
        <v>148500</v>
      </c>
      <c r="M5" s="28">
        <f>SUM('GSS-09'!M5,'GSS-97'!M5,'GSS-62'!M5)</f>
        <v>153450</v>
      </c>
      <c r="N5" s="28">
        <f>SUM('GSS-09'!N5,'GSS-97'!N5,'GSS-62'!N5)</f>
        <v>148500</v>
      </c>
      <c r="O5" s="28">
        <f>SUM('GSS-09'!O5,'GSS-97'!O5,'GSS-62'!O5)</f>
        <v>153450</v>
      </c>
      <c r="P5" s="28">
        <f>SUM('GSS-09'!P5,'GSS-97'!P5,'GSS-62'!P5)</f>
        <v>153450</v>
      </c>
      <c r="Q5" s="28">
        <f>SUM('GSS-09'!Q5,'GSS-97'!Q5,'GSS-62'!Q5)</f>
        <v>148500</v>
      </c>
      <c r="R5" s="28">
        <f>SUM('GSS-09'!R5,'GSS-97'!R5,'GSS-62'!R5)</f>
        <v>153450</v>
      </c>
      <c r="S5" s="28"/>
      <c r="T5" s="28"/>
      <c r="U5" s="28"/>
      <c r="V5" s="28"/>
      <c r="W5" s="28"/>
      <c r="X5" s="28">
        <f>SUM('GSS-09'!X5,'GSS-97'!X5,'GSS-62'!X5)</f>
        <v>154500</v>
      </c>
      <c r="Y5" s="28">
        <f>SUM('GSS-09'!Y5,'GSS-97'!Y5,'GSS-62'!Y5)</f>
        <v>159650</v>
      </c>
      <c r="Z5" s="28">
        <f>SUM('GSS-09'!Z5,'GSS-97'!Z5,'GSS-62'!Z5)</f>
        <v>154500</v>
      </c>
      <c r="AA5" s="28">
        <f>SUM('GSS-09'!AA5,'GSS-97'!AA5,'GSS-62'!AA5)</f>
        <v>159650</v>
      </c>
      <c r="AB5" s="28">
        <f>SUM('GSS-09'!AB5,'GSS-97'!AB5,'GSS-62'!AB5)</f>
        <v>159650</v>
      </c>
      <c r="AC5" s="28">
        <f>SUM('GSS-09'!AC5,'GSS-97'!AC5,'GSS-62'!AC5)</f>
        <v>154500</v>
      </c>
      <c r="AD5" s="28">
        <f>SUM('GSS-09'!AD5,'GSS-97'!AD5,'GSS-62'!AD5)</f>
        <v>159650</v>
      </c>
      <c r="AE5" s="28"/>
      <c r="AF5" s="28"/>
      <c r="AG5" s="28"/>
      <c r="AH5" s="28"/>
      <c r="AI5" s="28"/>
      <c r="AJ5" s="28">
        <f>SUM('GSS-09'!AJ5,'GSS-97'!AJ5,'GSS-62'!AJ5)</f>
        <v>154500</v>
      </c>
      <c r="AK5" s="28">
        <f>SUM('GSS-09'!AK5,'GSS-97'!AK5,'GSS-62'!AK5)</f>
        <v>159650</v>
      </c>
      <c r="AL5" s="28">
        <f>SUM('GSS-09'!AL5,'GSS-97'!AL5,'GSS-62'!AL5)</f>
        <v>154500</v>
      </c>
      <c r="AM5" s="28">
        <f>SUM('GSS-09'!AM5,'GSS-97'!AM5,'GSS-62'!AM5)</f>
        <v>159650</v>
      </c>
    </row>
    <row r="6" spans="1:40" s="28" customFormat="1">
      <c r="A6" s="208" t="s">
        <v>196</v>
      </c>
      <c r="C6" s="28">
        <f>SUM('GSS-09'!C6,'GSS-97'!C6,'GSS-62'!C6)</f>
        <v>135796</v>
      </c>
      <c r="D6" s="28">
        <f>SUM('GSS-09'!D6,'GSS-97'!D6,'GSS-62'!D6)</f>
        <v>120296</v>
      </c>
      <c r="E6" s="28">
        <f>SUM('GSS-09'!E6,'GSS-97'!E6,'GSS-62'!E6)</f>
        <v>131421</v>
      </c>
      <c r="F6" s="28">
        <f>SUM('GSS-09'!F6,'GSS-97'!F6,'GSS-62'!F6)</f>
        <v>167937</v>
      </c>
      <c r="G6" s="28">
        <f>SUM('GSS-09'!G6,'GSS-97'!G6,'GSS-62'!G6)</f>
        <v>3011</v>
      </c>
      <c r="H6" s="28">
        <f>SUM('GSS-09'!H6,'GSS-97'!H6,'GSS-62'!H6)</f>
        <v>3581</v>
      </c>
      <c r="I6" s="28">
        <f>SUM('GSS-09'!I6,'GSS-97'!I6,'GSS-62'!I6)</f>
        <v>2440</v>
      </c>
      <c r="J6" s="28">
        <f>SUM('GSS-09'!J6,'GSS-97'!J6,'GSS-62'!J6)</f>
        <v>12590</v>
      </c>
      <c r="K6" s="28">
        <f>SUM('GSS-09'!K6,'GSS-97'!K6,'GSS-62'!K6)</f>
        <v>5303</v>
      </c>
      <c r="L6" s="28">
        <f>SUM('GSS-09'!L6,'GSS-97'!L6,'GSS-62'!L6)</f>
        <v>95566</v>
      </c>
      <c r="M6" s="28">
        <f>SUM('GSS-09'!M6,'GSS-97'!M6,'GSS-62'!M6)</f>
        <v>162471</v>
      </c>
      <c r="N6" s="28">
        <f>SUM('GSS-09'!N6,'GSS-97'!N6,'GSS-62'!N6)</f>
        <v>176550</v>
      </c>
      <c r="O6" s="28">
        <f>SUM('GSS-09'!O6,'GSS-97'!O6,'GSS-62'!O6)</f>
        <v>153450</v>
      </c>
      <c r="P6" s="28">
        <f>SUM('GSS-09'!P6,'GSS-97'!P6,'GSS-62'!P6)</f>
        <v>153450</v>
      </c>
      <c r="Q6" s="28">
        <f>SUM('GSS-09'!Q6,'GSS-97'!Q6,'GSS-62'!Q6)</f>
        <v>148500</v>
      </c>
      <c r="R6" s="28">
        <f>SUM('GSS-09'!R6,'GSS-97'!R6,'GSS-62'!R6)</f>
        <v>153450</v>
      </c>
      <c r="S6" s="28">
        <f>SUM('GSS-09'!S6,'GSS-97'!S6,'GSS-62'!S6)</f>
        <v>0</v>
      </c>
      <c r="T6" s="28">
        <f>SUM('GSS-09'!T6,'GSS-97'!T6,'GSS-62'!T6)</f>
        <v>0</v>
      </c>
      <c r="U6" s="28">
        <f>SUM('GSS-09'!U6,'GSS-97'!U6,'GSS-62'!U6)</f>
        <v>0</v>
      </c>
      <c r="V6" s="28">
        <f>SUM('GSS-09'!V6,'GSS-97'!V6,'GSS-62'!V6)</f>
        <v>0</v>
      </c>
      <c r="W6" s="28">
        <f>SUM('GSS-09'!W6,'GSS-97'!W6,'GSS-62'!W6)</f>
        <v>0</v>
      </c>
      <c r="X6" s="28">
        <f>SUM('GSS-09'!X6,'GSS-97'!X6,'GSS-62'!X6)</f>
        <v>154500</v>
      </c>
      <c r="Y6" s="28">
        <f>SUM('GSS-09'!Y6,'GSS-97'!Y6,'GSS-62'!Y6)</f>
        <v>159650</v>
      </c>
      <c r="Z6" s="28">
        <f>SUM('GSS-09'!Z6,'GSS-97'!Z6,'GSS-62'!Z6)</f>
        <v>154500</v>
      </c>
      <c r="AA6" s="28">
        <f>SUM('GSS-09'!AA6,'GSS-97'!AA6,'GSS-62'!AA6)</f>
        <v>159650</v>
      </c>
      <c r="AB6" s="28">
        <f>SUM('GSS-09'!AB6,'GSS-97'!AB6,'GSS-62'!AB6)</f>
        <v>159650</v>
      </c>
      <c r="AC6" s="28">
        <f>SUM('GSS-09'!AC6,'GSS-97'!AC6,'GSS-62'!AC6)</f>
        <v>154500</v>
      </c>
      <c r="AD6" s="28">
        <f>SUM('GSS-09'!AD6,'GSS-97'!AD6,'GSS-62'!AD6)</f>
        <v>159650</v>
      </c>
      <c r="AE6" s="28">
        <f>SUM('GSS-09'!AE6,'GSS-97'!AE6,'GSS-62'!AE6)</f>
        <v>0</v>
      </c>
      <c r="AF6" s="28">
        <f>SUM('GSS-09'!AF6,'GSS-97'!AF6,'GSS-62'!AF6)</f>
        <v>0</v>
      </c>
      <c r="AG6" s="28">
        <f>SUM('GSS-09'!AG6,'GSS-97'!AG6,'GSS-62'!AG6)</f>
        <v>0</v>
      </c>
      <c r="AH6" s="28">
        <f>SUM('GSS-09'!AH6,'GSS-97'!AH6,'GSS-62'!AH6)</f>
        <v>0</v>
      </c>
      <c r="AI6" s="28">
        <f>SUM('GSS-09'!AI6,'GSS-97'!AI6,'GSS-62'!AI6)</f>
        <v>0</v>
      </c>
      <c r="AJ6" s="28">
        <f>SUM('GSS-09'!AJ6,'GSS-97'!AJ6,'GSS-62'!AJ6)</f>
        <v>154500</v>
      </c>
      <c r="AK6" s="28">
        <f>SUM('GSS-09'!AK6,'GSS-97'!AK6,'GSS-62'!AK6)</f>
        <v>159650</v>
      </c>
      <c r="AL6" s="28">
        <f>SUM('GSS-09'!AL6,'GSS-97'!AL6,'GSS-62'!AL6)</f>
        <v>154500</v>
      </c>
      <c r="AM6" s="28">
        <f>SUM('GSS-09'!AM6,'GSS-97'!AM6,'GSS-62'!AM6)</f>
        <v>159650</v>
      </c>
    </row>
    <row r="7" spans="1:40" s="16" customFormat="1">
      <c r="A7" s="7" t="s">
        <v>57</v>
      </c>
      <c r="C7" s="16">
        <f>C8/C6</f>
        <v>4.8658313039628069</v>
      </c>
      <c r="D7" s="16">
        <f>D8/D6</f>
        <v>4.9310778539603763</v>
      </c>
      <c r="E7" s="16">
        <f>E8/E6</f>
        <v>3.7011976975868937</v>
      </c>
      <c r="F7" s="16">
        <f>F8/F6</f>
        <v>3.9120966288083645</v>
      </c>
      <c r="G7" s="16">
        <f>G8/G6</f>
        <v>3.3109999999999999</v>
      </c>
      <c r="L7" s="16">
        <f t="shared" ref="L7:R7" si="0">L8/L6</f>
        <v>4.449844771241831</v>
      </c>
      <c r="M7" s="16">
        <f t="shared" si="0"/>
        <v>4.5546478873239424</v>
      </c>
      <c r="N7" s="16">
        <f t="shared" si="0"/>
        <v>4.4789252105002495</v>
      </c>
      <c r="O7" s="16">
        <f t="shared" si="0"/>
        <v>4.4750000000000005</v>
      </c>
      <c r="P7" s="16">
        <f t="shared" si="0"/>
        <v>4.4400000000000004</v>
      </c>
      <c r="Q7" s="16">
        <f t="shared" si="0"/>
        <v>4.069</v>
      </c>
      <c r="R7" s="16">
        <f t="shared" si="0"/>
        <v>4.1449999999999996</v>
      </c>
      <c r="X7" s="16">
        <f t="shared" ref="X7:AD7" si="1">X8/X6</f>
        <v>4.468</v>
      </c>
      <c r="Y7" s="16">
        <f t="shared" si="1"/>
        <v>4.4939999999999998</v>
      </c>
      <c r="Z7" s="16">
        <f t="shared" si="1"/>
        <v>4.5259999999999998</v>
      </c>
      <c r="AA7" s="16">
        <f t="shared" si="1"/>
        <v>4.5649999999999995</v>
      </c>
      <c r="AB7" s="16">
        <f t="shared" si="1"/>
        <v>4.5889999999999995</v>
      </c>
      <c r="AC7" s="16">
        <f t="shared" si="1"/>
        <v>4.593</v>
      </c>
      <c r="AD7" s="16">
        <f t="shared" si="1"/>
        <v>4.625</v>
      </c>
      <c r="AJ7" s="16">
        <f>AJ8/AJ6</f>
        <v>4.8084999999999996</v>
      </c>
      <c r="AK7" s="16">
        <f>AK8/AK6</f>
        <v>4.8205</v>
      </c>
      <c r="AL7" s="16">
        <f>AL8/AL6</f>
        <v>4.8555000000000001</v>
      </c>
      <c r="AM7" s="16">
        <f>AM8/AM6</f>
        <v>0</v>
      </c>
    </row>
    <row r="8" spans="1:40">
      <c r="A8" s="4" t="s">
        <v>58</v>
      </c>
      <c r="B8" s="25"/>
      <c r="C8" s="39">
        <f>SUM('GSS-09'!C8,'GSS-97'!C8,'GSS-62'!C8)</f>
        <v>660760.42775293335</v>
      </c>
      <c r="D8" s="39">
        <f>SUM('GSS-09'!D8,'GSS-97'!D8,'GSS-62'!D8)</f>
        <v>593188.94152001746</v>
      </c>
      <c r="E8" s="39">
        <f>SUM('GSS-09'!E8,'GSS-97'!E8,'GSS-62'!E8)</f>
        <v>486415.10261456715</v>
      </c>
      <c r="F8" s="39">
        <f>SUM('GSS-09'!F8,'GSS-97'!F8,'GSS-62'!F8)</f>
        <v>656985.7715521903</v>
      </c>
      <c r="G8" s="39">
        <f>SUM('GSS-09'!G8,'GSS-97'!G8,'GSS-62'!G8)</f>
        <v>9969.4210000000003</v>
      </c>
      <c r="L8" s="39">
        <f>SUM('GSS-09'!L8,'GSS-97'!L8,'GSS-62'!L8)</f>
        <v>425253.86540849681</v>
      </c>
      <c r="M8" s="39">
        <f>SUM('GSS-09'!M8,'GSS-97'!M8,'GSS-62'!M8)</f>
        <v>739998.19690140826</v>
      </c>
      <c r="N8" s="39">
        <f>SUM('GSS-09'!N8,'GSS-97'!N8,'GSS-62'!N8)</f>
        <v>790754.24591381906</v>
      </c>
      <c r="O8" s="39">
        <f>SUM('GSS-09'!O8,'GSS-97'!O8,'GSS-62'!O8)</f>
        <v>686688.75000000012</v>
      </c>
      <c r="P8" s="39">
        <f>SUM('GSS-09'!P8,'GSS-97'!P8,'GSS-62'!P8)</f>
        <v>681318.00000000012</v>
      </c>
      <c r="Q8" s="39">
        <f>SUM('GSS-09'!Q8,'GSS-97'!Q8,'GSS-62'!Q8)</f>
        <v>604246.5</v>
      </c>
      <c r="R8" s="39">
        <f>SUM('GSS-09'!R8,'GSS-97'!R8,'GSS-62'!R8)</f>
        <v>636050.24999999988</v>
      </c>
      <c r="X8" s="39">
        <f>SUM('GSS-09'!X8,'GSS-97'!X8,'GSS-62'!X8)</f>
        <v>690306</v>
      </c>
      <c r="Y8" s="39">
        <f>SUM('GSS-09'!Y8,'GSS-97'!Y8,'GSS-62'!Y8)</f>
        <v>717467.1</v>
      </c>
      <c r="Z8" s="39">
        <f>SUM('GSS-09'!Z8,'GSS-97'!Z8,'GSS-62'!Z8)</f>
        <v>699267</v>
      </c>
      <c r="AA8" s="39">
        <f>SUM('GSS-09'!AA8,'GSS-97'!AA8,'GSS-62'!AA8)</f>
        <v>728802.24999999988</v>
      </c>
      <c r="AB8" s="39">
        <f>SUM('GSS-09'!AB8,'GSS-97'!AB8,'GSS-62'!AB8)</f>
        <v>732633.85</v>
      </c>
      <c r="AC8" s="39">
        <f>SUM('GSS-09'!AC8,'GSS-97'!AC8,'GSS-62'!AC8)</f>
        <v>709618.5</v>
      </c>
      <c r="AD8" s="39">
        <f>SUM('GSS-09'!AD8,'GSS-97'!AD8,'GSS-62'!AD8)</f>
        <v>738381.25</v>
      </c>
      <c r="AJ8" s="39">
        <f>SUM('GSS-09'!AJ8,'GSS-97'!AJ8,'GSS-62'!AJ8)</f>
        <v>742913.24999999988</v>
      </c>
      <c r="AK8" s="39">
        <f>SUM('GSS-09'!AK8,'GSS-97'!AK8,'GSS-62'!AK8)</f>
        <v>769592.82499999995</v>
      </c>
      <c r="AL8" s="39">
        <f>SUM('GSS-09'!AL8,'GSS-97'!AL8,'GSS-62'!AL8)</f>
        <v>750174.75</v>
      </c>
      <c r="AM8" s="39">
        <f>SUM('GSS-09'!AM8,'GSS-97'!AM8,'GSS-62'!AM8)</f>
        <v>0</v>
      </c>
    </row>
    <row r="9" spans="1:40">
      <c r="A9" s="4" t="s">
        <v>197</v>
      </c>
      <c r="H9" s="124">
        <f>H10/$D$1</f>
        <v>-0.18</v>
      </c>
      <c r="I9" s="124">
        <f>I10/$D$1</f>
        <v>-0.22429658260616489</v>
      </c>
      <c r="J9" s="124">
        <f>J10/$D$1</f>
        <v>-0.17974289978946581</v>
      </c>
      <c r="K9" s="124">
        <f>K10/$D$1</f>
        <v>-4.2556569364806236E-2</v>
      </c>
      <c r="T9" s="124"/>
      <c r="U9" s="124"/>
      <c r="V9" s="124"/>
      <c r="W9" s="124"/>
      <c r="AF9" s="124"/>
      <c r="AG9" s="124"/>
      <c r="AH9" s="124"/>
      <c r="AI9" s="124"/>
    </row>
    <row r="10" spans="1:40">
      <c r="A10" s="4" t="s">
        <v>347</v>
      </c>
      <c r="G10" s="107">
        <f>SUM('GSS-09'!G10,'GSS-97'!G10,'GSS-62'!G10)</f>
        <v>0</v>
      </c>
      <c r="H10" s="107">
        <f>SUM('GSS-09'!H10,'GSS-97'!H10,'GSS-62'!H10)</f>
        <v>-317278.62</v>
      </c>
      <c r="I10" s="107">
        <f>SUM('GSS-09'!I10,'GSS-97'!I10,'GSS-62'!I10)</f>
        <v>-395358.39</v>
      </c>
      <c r="J10" s="107">
        <f>SUM('GSS-09'!J10,'GSS-97'!J10,'GSS-62'!J10)</f>
        <v>-316825.44</v>
      </c>
      <c r="K10" s="107">
        <f>SUM('GSS-09'!K10,'GSS-97'!K10,'GSS-62'!K10)</f>
        <v>-75012.72</v>
      </c>
      <c r="T10" s="107">
        <f>SUM('GSS-09'!T10,'GSS-97'!T10,'GSS-62'!T10)</f>
        <v>-317278.62</v>
      </c>
      <c r="U10" s="107">
        <f>SUM('GSS-09'!U10,'GSS-97'!U10,'GSS-62'!U10)</f>
        <v>-395358.39</v>
      </c>
      <c r="V10" s="107">
        <f>SUM('GSS-09'!V10,'GSS-97'!V10,'GSS-62'!V10)</f>
        <v>-316825.44</v>
      </c>
      <c r="W10" s="107">
        <f>SUM('GSS-09'!W10,'GSS-97'!W10,'GSS-62'!W10)</f>
        <v>-75012.72</v>
      </c>
      <c r="AF10" s="107">
        <f>SUM('GSS-09'!AF10,'GSS-97'!AF10,'GSS-62'!AF10)</f>
        <v>-317278.62</v>
      </c>
      <c r="AG10" s="107">
        <f>SUM('GSS-09'!AG10,'GSS-97'!AG10,'GSS-62'!AG10)</f>
        <v>-395358.39</v>
      </c>
      <c r="AH10" s="107">
        <f>SUM('GSS-09'!AH10,'GSS-97'!AH10,'GSS-62'!AH10)</f>
        <v>-316825.44</v>
      </c>
      <c r="AI10" s="107">
        <f>SUM('GSS-09'!AI10,'GSS-97'!AI10,'GSS-62'!AI10)</f>
        <v>-75012.72</v>
      </c>
    </row>
    <row r="11" spans="1:40" s="107" customFormat="1">
      <c r="A11" s="209" t="s">
        <v>198</v>
      </c>
      <c r="G11" s="107">
        <f>SUM('GSS-09'!G11,'GSS-97'!G11,'GSS-62'!G11)</f>
        <v>-10900</v>
      </c>
      <c r="H11" s="107">
        <f>SUM('GSS-09'!H11,'GSS-97'!H11,'GSS-62'!H11)</f>
        <v>-346216</v>
      </c>
      <c r="I11" s="107">
        <f>SUM('GSS-09'!I11,'GSS-97'!I11,'GSS-62'!I11)</f>
        <v>-371088</v>
      </c>
      <c r="J11" s="107">
        <f>SUM('GSS-09'!J11,'GSS-97'!J11,'GSS-62'!J11)</f>
        <v>-195278</v>
      </c>
      <c r="K11" s="107">
        <f>SUM('GSS-09'!K11,'GSS-97'!K11,'GSS-62'!K11)</f>
        <v>-192521</v>
      </c>
      <c r="T11" s="107">
        <f>SUM('GSS-09'!T11,'GSS-97'!T11,'GSS-62'!T11)</f>
        <v>-317278.62</v>
      </c>
      <c r="U11" s="107">
        <f>SUM('GSS-09'!U11,'GSS-97'!U11,'GSS-62'!U11)</f>
        <v>-395358.39</v>
      </c>
      <c r="V11" s="107">
        <f>SUM('GSS-09'!V11,'GSS-97'!V11,'GSS-62'!V11)</f>
        <v>-316825.44</v>
      </c>
      <c r="W11" s="107">
        <f>SUM('GSS-09'!W11,'GSS-97'!W11,'GSS-62'!W11)</f>
        <v>-75012.72</v>
      </c>
      <c r="AF11" s="107">
        <f>SUM('GSS-09'!AF11,'GSS-97'!AF11,'GSS-62'!AF11)</f>
        <v>-317278.62</v>
      </c>
      <c r="AG11" s="107">
        <f>SUM('GSS-09'!AG11,'GSS-97'!AG11,'GSS-62'!AG11)</f>
        <v>-395358.39</v>
      </c>
      <c r="AH11" s="107">
        <f>SUM('GSS-09'!AH11,'GSS-97'!AH11,'GSS-62'!AH11)</f>
        <v>-316825.44</v>
      </c>
      <c r="AI11" s="107">
        <f>SUM('GSS-09'!AI11,'GSS-97'!AI11,'GSS-62'!AI11)</f>
        <v>-75012.72</v>
      </c>
    </row>
    <row r="12" spans="1:40">
      <c r="A12" s="4" t="s">
        <v>59</v>
      </c>
      <c r="G12" s="20">
        <f>+F20</f>
        <v>4.9237785403465884</v>
      </c>
      <c r="H12" s="20">
        <f>+G20</f>
        <v>4.9210628680715089</v>
      </c>
      <c r="I12" s="20">
        <f>+H20</f>
        <v>4.9096444270266568</v>
      </c>
      <c r="J12" s="20">
        <f>+I20</f>
        <v>4.8575832845072</v>
      </c>
      <c r="K12" s="20">
        <f>+J20</f>
        <v>4.7721011995177705</v>
      </c>
      <c r="S12" s="20">
        <f>+R20</f>
        <v>4.4899285867020211</v>
      </c>
      <c r="T12" s="20">
        <f>+S20</f>
        <v>4.4899285867020211</v>
      </c>
      <c r="U12" s="20">
        <f>+T20</f>
        <v>4.4713985435123149</v>
      </c>
      <c r="V12" s="20">
        <f>+U20</f>
        <v>4.4311384474967221</v>
      </c>
      <c r="W12" s="20">
        <f>+V20</f>
        <v>4.3631676243051594</v>
      </c>
      <c r="AE12" s="20">
        <f>+AD20</f>
        <v>4.4783459312376328</v>
      </c>
      <c r="AF12" s="20">
        <f>+AE20</f>
        <v>4.4783459312376328</v>
      </c>
      <c r="AG12" s="20">
        <f>+AF20</f>
        <v>4.4597266509098636</v>
      </c>
      <c r="AH12" s="20">
        <f>+AG20</f>
        <v>4.4192460242259344</v>
      </c>
      <c r="AI12" s="20">
        <f>+AH20</f>
        <v>4.350783984025612</v>
      </c>
    </row>
    <row r="13" spans="1:40">
      <c r="A13" s="4" t="s">
        <v>60</v>
      </c>
      <c r="G13" s="66">
        <f>SUM('GSS-09'!G13,'GSS-97'!G13,'GSS-62'!G13)</f>
        <v>-53460.825494600576</v>
      </c>
      <c r="H13" s="66">
        <f>SUM('GSS-09'!H13,'GSS-97'!H13,'GSS-62'!H13)</f>
        <v>-1701758.0178329628</v>
      </c>
      <c r="I13" s="66">
        <f>SUM('GSS-09'!I13,'GSS-97'!I13,'GSS-62'!I13)</f>
        <v>-1862000.0189756402</v>
      </c>
      <c r="J13" s="66">
        <f>SUM('GSS-09'!J13,'GSS-97'!J13,'GSS-62'!J13)</f>
        <v>-957301.30057844543</v>
      </c>
      <c r="K13" s="66">
        <f>SUM('GSS-09'!K13,'GSS-97'!K13,'GSS-62'!K13)</f>
        <v>-950615.57161740982</v>
      </c>
      <c r="S13" s="30">
        <f>S11*S12</f>
        <v>0</v>
      </c>
      <c r="T13" s="66">
        <f>SUM('GSS-09'!T13,'GSS-97'!T13,'GSS-62'!T13)</f>
        <v>-1449692.7073417779</v>
      </c>
      <c r="U13" s="66">
        <f>SUM('GSS-09'!U13,'GSS-97'!U13,'GSS-62'!U13)</f>
        <v>-1806497.0148648459</v>
      </c>
      <c r="V13" s="66">
        <f>SUM('GSS-09'!V13,'GSS-97'!V13,'GSS-62'!V13)</f>
        <v>-1447686.0652252496</v>
      </c>
      <c r="W13" s="66">
        <f>SUM('GSS-09'!W13,'GSS-97'!W13,'GSS-62'!W13)</f>
        <v>-342622.77009781607</v>
      </c>
      <c r="AE13" s="30">
        <f>AE11*AE12</f>
        <v>0</v>
      </c>
      <c r="AF13" s="66">
        <f>SUM('GSS-09'!AF13,'GSS-97'!AF13,'GSS-62'!AF13)</f>
        <v>-1446094.5967136314</v>
      </c>
      <c r="AG13" s="66">
        <f>SUM('GSS-09'!AG13,'GSS-97'!AG13,'GSS-62'!AG13)</f>
        <v>-1801998.2274853992</v>
      </c>
      <c r="AH13" s="66">
        <f>SUM('GSS-09'!AH13,'GSS-97'!AH13,'GSS-62'!AH13)</f>
        <v>-1444072.089535865</v>
      </c>
      <c r="AI13" s="66">
        <f>SUM('GSS-09'!AI13,'GSS-97'!AI13,'GSS-62'!AI13)</f>
        <v>-341811.92127404566</v>
      </c>
    </row>
    <row r="14" spans="1:40" s="22" customFormat="1">
      <c r="A14" s="4" t="s">
        <v>825</v>
      </c>
      <c r="H14" s="108">
        <f>SUM('GSS-09'!H14,'GSS-97'!H14,'GSS-62'!H14)</f>
        <v>16389</v>
      </c>
    </row>
    <row r="15" spans="1:40" s="16" customFormat="1">
      <c r="A15" s="7" t="s">
        <v>63</v>
      </c>
      <c r="H15" s="16">
        <f>H16/H14</f>
        <v>4.9548318748537383</v>
      </c>
    </row>
    <row r="16" spans="1:40">
      <c r="A16" s="4" t="s">
        <v>64</v>
      </c>
      <c r="H16" s="30">
        <f>SUM('GSS-09'!H16,'GSS-97'!H16,'GSS-62'!H16)</f>
        <v>81204.739596977917</v>
      </c>
    </row>
    <row r="17" spans="1:38">
      <c r="A17" s="4" t="s">
        <v>350</v>
      </c>
      <c r="B17" s="124">
        <f>B18/$D$1</f>
        <v>0.66029844683515071</v>
      </c>
      <c r="C17" s="124">
        <f t="shared" ref="C17:N17" si="2">C18/$D$1</f>
        <v>0.73733887269176857</v>
      </c>
      <c r="D17" s="124">
        <f t="shared" si="2"/>
        <v>0.80558576559618167</v>
      </c>
      <c r="E17" s="124">
        <f t="shared" si="2"/>
        <v>0.8801441458614514</v>
      </c>
      <c r="F17" s="134">
        <f t="shared" si="2"/>
        <v>0.97541895511270194</v>
      </c>
      <c r="G17" s="124">
        <f t="shared" si="2"/>
        <v>0.97094333050238302</v>
      </c>
      <c r="H17" s="124">
        <f t="shared" si="2"/>
        <v>0.77655802965860099</v>
      </c>
      <c r="I17" s="124">
        <f t="shared" si="2"/>
        <v>0.56741491122219334</v>
      </c>
      <c r="J17" s="124">
        <f t="shared" si="2"/>
        <v>0.46377149522397698</v>
      </c>
      <c r="K17" s="134">
        <f t="shared" si="2"/>
        <v>0.35755809830489049</v>
      </c>
      <c r="L17" s="124">
        <f t="shared" si="2"/>
        <v>0.41177505121523789</v>
      </c>
      <c r="M17" s="124">
        <f t="shared" si="2"/>
        <v>0.50394886362024649</v>
      </c>
      <c r="N17" s="124">
        <f t="shared" si="2"/>
        <v>0.60411004056938977</v>
      </c>
      <c r="O17" s="124">
        <f>O18/$P$1</f>
        <v>0.69116601679621525</v>
      </c>
      <c r="P17" s="124">
        <f t="shared" ref="P17:Z17" si="3">P18/$P$1</f>
        <v>0.77822199302304074</v>
      </c>
      <c r="Q17" s="124">
        <f t="shared" si="3"/>
        <v>0.86246971195222677</v>
      </c>
      <c r="R17" s="134">
        <f t="shared" si="3"/>
        <v>0.94952568817905225</v>
      </c>
      <c r="S17" s="124">
        <f t="shared" si="3"/>
        <v>0.94952568817905225</v>
      </c>
      <c r="T17" s="124">
        <f t="shared" si="3"/>
        <v>0.7695256881790522</v>
      </c>
      <c r="U17" s="124">
        <f t="shared" si="3"/>
        <v>0.54522910557288728</v>
      </c>
      <c r="V17" s="124">
        <f t="shared" si="3"/>
        <v>0.36548620578342139</v>
      </c>
      <c r="W17" s="134">
        <f t="shared" si="3"/>
        <v>0.32292963641861522</v>
      </c>
      <c r="X17" s="124">
        <f t="shared" si="3"/>
        <v>0.41058130358736422</v>
      </c>
      <c r="Y17" s="124">
        <f t="shared" si="3"/>
        <v>0.50115469299507154</v>
      </c>
      <c r="Z17" s="124">
        <f t="shared" si="3"/>
        <v>0.5888063601638206</v>
      </c>
      <c r="AA17" s="124">
        <f>AA18/$AB$1</f>
        <v>0.67937974957152791</v>
      </c>
      <c r="AB17" s="124">
        <f t="shared" ref="AB17:AI17" si="4">AB18/$AB$1</f>
        <v>0.76995313897923523</v>
      </c>
      <c r="AC17" s="124">
        <f t="shared" si="4"/>
        <v>0.85760480614798429</v>
      </c>
      <c r="AD17" s="134">
        <f t="shared" si="4"/>
        <v>0.94817819555569161</v>
      </c>
      <c r="AE17" s="124">
        <f t="shared" si="4"/>
        <v>0.94817819555569161</v>
      </c>
      <c r="AF17" s="124">
        <f t="shared" si="4"/>
        <v>0.76817819555569167</v>
      </c>
      <c r="AG17" s="124">
        <f t="shared" si="4"/>
        <v>0.54388161294952675</v>
      </c>
      <c r="AH17" s="124">
        <f t="shared" si="4"/>
        <v>0.36413871316006097</v>
      </c>
      <c r="AI17" s="134">
        <f t="shared" si="4"/>
        <v>0.32158214379525474</v>
      </c>
      <c r="AJ17" s="124">
        <f>AJ18/$AB$1</f>
        <v>0.40923381096400374</v>
      </c>
      <c r="AK17" s="124">
        <f>AK18/$AB$1</f>
        <v>0.49980720037171111</v>
      </c>
      <c r="AL17" s="124">
        <f>AL18/$AB$1</f>
        <v>0.58745886754046017</v>
      </c>
    </row>
    <row r="18" spans="1:38">
      <c r="A18" s="4" t="s">
        <v>348</v>
      </c>
      <c r="B18" s="132">
        <f>SUM('GSS-09'!B18,'GSS-97'!B18,'GSS-62'!B18)</f>
        <v>1163881</v>
      </c>
      <c r="C18" s="132">
        <f t="shared" ref="C18:AL18" si="5">+B18+C6+C11</f>
        <v>1299677</v>
      </c>
      <c r="D18" s="132">
        <f t="shared" si="5"/>
        <v>1419973</v>
      </c>
      <c r="E18" s="132">
        <f t="shared" si="5"/>
        <v>1551394</v>
      </c>
      <c r="F18" s="132">
        <f t="shared" si="5"/>
        <v>1719331</v>
      </c>
      <c r="G18" s="132">
        <f t="shared" si="5"/>
        <v>1711442</v>
      </c>
      <c r="H18" s="132">
        <f>+G18+H6+H11</f>
        <v>1368807</v>
      </c>
      <c r="I18" s="132">
        <f t="shared" si="5"/>
        <v>1000159</v>
      </c>
      <c r="J18" s="132">
        <f t="shared" si="5"/>
        <v>817471</v>
      </c>
      <c r="K18" s="132">
        <f t="shared" si="5"/>
        <v>630253</v>
      </c>
      <c r="L18" s="132">
        <f t="shared" si="5"/>
        <v>725819</v>
      </c>
      <c r="M18" s="439">
        <f t="shared" si="5"/>
        <v>888290</v>
      </c>
      <c r="N18" s="439">
        <f t="shared" si="5"/>
        <v>1064840</v>
      </c>
      <c r="O18" s="22">
        <f t="shared" si="5"/>
        <v>1218290</v>
      </c>
      <c r="P18" s="22">
        <f t="shared" si="5"/>
        <v>1371740</v>
      </c>
      <c r="Q18" s="22">
        <f t="shared" si="5"/>
        <v>1520240</v>
      </c>
      <c r="R18" s="22">
        <f t="shared" si="5"/>
        <v>1673690</v>
      </c>
      <c r="S18" s="22">
        <f t="shared" si="5"/>
        <v>1673690</v>
      </c>
      <c r="T18" s="22">
        <f t="shared" si="5"/>
        <v>1356411.38</v>
      </c>
      <c r="U18" s="22">
        <f t="shared" si="5"/>
        <v>961052.98999999987</v>
      </c>
      <c r="V18" s="22">
        <f t="shared" si="5"/>
        <v>644227.54999999981</v>
      </c>
      <c r="W18" s="22">
        <f t="shared" si="5"/>
        <v>569214.82999999984</v>
      </c>
      <c r="X18" s="22">
        <f t="shared" si="5"/>
        <v>723714.82999999984</v>
      </c>
      <c r="Y18" s="22">
        <f t="shared" si="5"/>
        <v>883364.82999999984</v>
      </c>
      <c r="Z18" s="22">
        <f t="shared" si="5"/>
        <v>1037864.8299999998</v>
      </c>
      <c r="AA18" s="22">
        <f t="shared" si="5"/>
        <v>1197514.8299999998</v>
      </c>
      <c r="AB18" s="22">
        <f t="shared" si="5"/>
        <v>1357164.8299999998</v>
      </c>
      <c r="AC18" s="22">
        <f t="shared" si="5"/>
        <v>1511664.8299999998</v>
      </c>
      <c r="AD18" s="22">
        <f t="shared" si="5"/>
        <v>1671314.8299999998</v>
      </c>
      <c r="AE18" s="22">
        <f t="shared" si="5"/>
        <v>1671314.8299999998</v>
      </c>
      <c r="AF18" s="22">
        <f t="shared" si="5"/>
        <v>1354036.21</v>
      </c>
      <c r="AG18" s="22">
        <f t="shared" si="5"/>
        <v>958677.82</v>
      </c>
      <c r="AH18" s="22">
        <f t="shared" si="5"/>
        <v>641852.37999999989</v>
      </c>
      <c r="AI18" s="22">
        <f t="shared" si="5"/>
        <v>566839.65999999992</v>
      </c>
      <c r="AJ18" s="22">
        <f t="shared" si="5"/>
        <v>721339.65999999992</v>
      </c>
      <c r="AK18" s="22">
        <f t="shared" si="5"/>
        <v>880989.65999999992</v>
      </c>
      <c r="AL18" s="22">
        <f t="shared" si="5"/>
        <v>1035489.6599999999</v>
      </c>
    </row>
    <row r="19" spans="1:38" s="32" customFormat="1">
      <c r="A19" s="4" t="s">
        <v>349</v>
      </c>
      <c r="B19" s="188">
        <f>SUM('GSS-09'!B19,'GSS-97'!B19,'GSS-62'!B19)</f>
        <v>6068254.8381129308</v>
      </c>
      <c r="C19" s="188">
        <f t="shared" ref="C19:AL19" si="6">+B19+C8+C13</f>
        <v>6729015.2658658642</v>
      </c>
      <c r="D19" s="188">
        <f t="shared" si="6"/>
        <v>7322204.2073858818</v>
      </c>
      <c r="E19" s="188">
        <f t="shared" si="6"/>
        <v>7808619.3100004494</v>
      </c>
      <c r="F19" s="188">
        <f t="shared" si="6"/>
        <v>8465605.0815526396</v>
      </c>
      <c r="G19" s="188">
        <f t="shared" si="6"/>
        <v>8422113.6770580392</v>
      </c>
      <c r="H19" s="188">
        <f>+G19+H8+H13</f>
        <v>6720355.6592250764</v>
      </c>
      <c r="I19" s="188">
        <f t="shared" si="6"/>
        <v>4858355.6402494367</v>
      </c>
      <c r="J19" s="188">
        <f t="shared" si="6"/>
        <v>3901054.3396709915</v>
      </c>
      <c r="K19" s="188">
        <f t="shared" si="6"/>
        <v>2950438.7680535819</v>
      </c>
      <c r="L19" s="188">
        <f t="shared" si="6"/>
        <v>3375692.6334620789</v>
      </c>
      <c r="M19" s="437">
        <f t="shared" si="6"/>
        <v>4115690.8303634869</v>
      </c>
      <c r="N19" s="437">
        <f t="shared" si="6"/>
        <v>4906445.0762773063</v>
      </c>
      <c r="O19" s="32">
        <f t="shared" si="6"/>
        <v>5593133.8262773063</v>
      </c>
      <c r="P19" s="32">
        <f t="shared" si="6"/>
        <v>6274451.8262773063</v>
      </c>
      <c r="Q19" s="32">
        <f t="shared" si="6"/>
        <v>6878698.3262773063</v>
      </c>
      <c r="R19" s="32">
        <f t="shared" si="6"/>
        <v>7514748.5762773063</v>
      </c>
      <c r="S19" s="32">
        <f t="shared" si="6"/>
        <v>7514748.5762773063</v>
      </c>
      <c r="T19" s="32">
        <f t="shared" si="6"/>
        <v>6065055.8689355282</v>
      </c>
      <c r="U19" s="32">
        <f t="shared" si="6"/>
        <v>4258558.8540706821</v>
      </c>
      <c r="V19" s="32">
        <f t="shared" si="6"/>
        <v>2810872.7888454325</v>
      </c>
      <c r="W19" s="32">
        <f t="shared" si="6"/>
        <v>2468250.0187476166</v>
      </c>
      <c r="X19" s="32">
        <f t="shared" si="6"/>
        <v>3158556.0187476166</v>
      </c>
      <c r="Y19" s="32">
        <f t="shared" si="6"/>
        <v>3876023.1187476167</v>
      </c>
      <c r="Z19" s="32">
        <f t="shared" si="6"/>
        <v>4575290.1187476162</v>
      </c>
      <c r="AA19" s="32">
        <f t="shared" si="6"/>
        <v>5304092.3687476162</v>
      </c>
      <c r="AB19" s="32">
        <f t="shared" si="6"/>
        <v>6036726.2187476158</v>
      </c>
      <c r="AC19" s="32">
        <f t="shared" si="6"/>
        <v>6746344.7187476158</v>
      </c>
      <c r="AD19" s="32">
        <f t="shared" si="6"/>
        <v>7484725.9687476158</v>
      </c>
      <c r="AE19" s="32">
        <f t="shared" si="6"/>
        <v>7484725.9687476158</v>
      </c>
      <c r="AF19" s="32">
        <f t="shared" si="6"/>
        <v>6038631.3720339844</v>
      </c>
      <c r="AG19" s="32">
        <f t="shared" si="6"/>
        <v>4236633.1445485856</v>
      </c>
      <c r="AH19" s="32">
        <f t="shared" si="6"/>
        <v>2792561.0550127206</v>
      </c>
      <c r="AI19" s="32">
        <f t="shared" si="6"/>
        <v>2450749.1337386752</v>
      </c>
      <c r="AJ19" s="32">
        <f t="shared" si="6"/>
        <v>3193662.3837386752</v>
      </c>
      <c r="AK19" s="32">
        <f t="shared" si="6"/>
        <v>3963255.2087386753</v>
      </c>
      <c r="AL19" s="32">
        <f t="shared" si="6"/>
        <v>4713429.9587386753</v>
      </c>
    </row>
    <row r="20" spans="1:38">
      <c r="A20" s="4" t="s">
        <v>65</v>
      </c>
      <c r="B20" s="20">
        <f t="shared" ref="B20:AL20" si="7">+B19/B18</f>
        <v>5.2138103793368318</v>
      </c>
      <c r="C20" s="20">
        <f t="shared" si="7"/>
        <v>5.1774519868135425</v>
      </c>
      <c r="D20" s="20">
        <f t="shared" si="7"/>
        <v>5.1565798838329195</v>
      </c>
      <c r="E20" s="20">
        <f t="shared" si="7"/>
        <v>5.0332921939884061</v>
      </c>
      <c r="F20" s="135">
        <f t="shared" si="7"/>
        <v>4.9237785403465884</v>
      </c>
      <c r="G20" s="20">
        <f t="shared" si="7"/>
        <v>4.9210628680715089</v>
      </c>
      <c r="H20" s="20">
        <f t="shared" si="7"/>
        <v>4.9096444270266568</v>
      </c>
      <c r="I20" s="20">
        <f t="shared" si="7"/>
        <v>4.8575832845072</v>
      </c>
      <c r="J20" s="20">
        <f t="shared" si="7"/>
        <v>4.7721011995177705</v>
      </c>
      <c r="K20" s="20">
        <f t="shared" si="7"/>
        <v>4.6813561665768857</v>
      </c>
      <c r="L20" s="20">
        <f t="shared" si="7"/>
        <v>4.650873886550337</v>
      </c>
      <c r="M20" s="20">
        <f t="shared" si="7"/>
        <v>4.6332738524169885</v>
      </c>
      <c r="N20" s="20">
        <f t="shared" si="7"/>
        <v>4.6076829160036308</v>
      </c>
      <c r="O20" s="20">
        <f t="shared" si="7"/>
        <v>4.5909708084916616</v>
      </c>
      <c r="P20" s="20">
        <f t="shared" si="7"/>
        <v>4.5740824254430912</v>
      </c>
      <c r="Q20" s="20">
        <f t="shared" si="7"/>
        <v>4.5247449917626863</v>
      </c>
      <c r="R20" s="135">
        <f t="shared" si="7"/>
        <v>4.4899285867020211</v>
      </c>
      <c r="S20" s="20">
        <f t="shared" si="7"/>
        <v>4.4899285867020211</v>
      </c>
      <c r="T20" s="20">
        <f t="shared" si="7"/>
        <v>4.4713985435123149</v>
      </c>
      <c r="U20" s="20">
        <f t="shared" si="7"/>
        <v>4.4311384474967221</v>
      </c>
      <c r="V20" s="20">
        <f t="shared" si="7"/>
        <v>4.3631676243051594</v>
      </c>
      <c r="W20" s="20">
        <f t="shared" si="7"/>
        <v>4.3362363182765584</v>
      </c>
      <c r="X20" s="20">
        <f t="shared" si="7"/>
        <v>4.3643654763128419</v>
      </c>
      <c r="Y20" s="20">
        <f t="shared" si="7"/>
        <v>4.3877942466281086</v>
      </c>
      <c r="Z20" s="20">
        <f t="shared" si="7"/>
        <v>4.4083680133448757</v>
      </c>
      <c r="AA20" s="20">
        <f t="shared" si="7"/>
        <v>4.4292498396430018</v>
      </c>
      <c r="AB20" s="20">
        <f t="shared" si="7"/>
        <v>4.4480420397775973</v>
      </c>
      <c r="AC20" s="20">
        <f t="shared" si="7"/>
        <v>4.462857496491214</v>
      </c>
      <c r="AD20" s="135">
        <f t="shared" si="7"/>
        <v>4.4783459312376328</v>
      </c>
      <c r="AE20" s="20">
        <f t="shared" si="7"/>
        <v>4.4783459312376328</v>
      </c>
      <c r="AF20" s="20">
        <f t="shared" si="7"/>
        <v>4.4597266509098636</v>
      </c>
      <c r="AG20" s="20">
        <f t="shared" si="7"/>
        <v>4.4192460242259344</v>
      </c>
      <c r="AH20" s="20">
        <f t="shared" si="7"/>
        <v>4.350783984025612</v>
      </c>
      <c r="AI20" s="20">
        <f t="shared" si="7"/>
        <v>4.3235315146062216</v>
      </c>
      <c r="AJ20" s="20">
        <f t="shared" si="7"/>
        <v>4.4274043988357379</v>
      </c>
      <c r="AK20" s="20">
        <f t="shared" si="7"/>
        <v>4.498639869097528</v>
      </c>
      <c r="AL20" s="20">
        <f t="shared" si="7"/>
        <v>4.5518851040373267</v>
      </c>
    </row>
    <row r="21" spans="1:38">
      <c r="A21" s="112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0"/>
      <c r="M21" s="20"/>
      <c r="N21" s="20"/>
      <c r="O21" s="20"/>
      <c r="P21" s="20"/>
      <c r="Q21" s="20"/>
      <c r="R21" s="182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</row>
    <row r="22" spans="1:38">
      <c r="A22" s="31" t="s">
        <v>451</v>
      </c>
      <c r="B22" s="132">
        <f>SUM('GSS-09'!B22,'GSS-97'!B22,'GSS-62'!B22)</f>
        <v>1163881</v>
      </c>
      <c r="C22" s="132">
        <f>SUM('GSS-09'!C22,'GSS-97'!C22,'GSS-62'!C22)</f>
        <v>1299677</v>
      </c>
      <c r="D22" s="132">
        <f>SUM('GSS-09'!D22,'GSS-97'!D22,'GSS-62'!D22)</f>
        <v>1419973</v>
      </c>
      <c r="E22" s="132">
        <f>SUM('GSS-09'!E22,'GSS-97'!E22,'GSS-62'!E22)</f>
        <v>1551394</v>
      </c>
      <c r="F22" s="132">
        <f>SUM('GSS-09'!F22,'GSS-97'!F22,'GSS-62'!F22)</f>
        <v>1750439</v>
      </c>
      <c r="G22" s="132">
        <f>SUM('GSS-09'!G22,'GSS-97'!G22,'GSS-62'!G22)</f>
        <v>1742550</v>
      </c>
      <c r="H22" s="132">
        <f>SUM('GSS-09'!H22,'GSS-97'!H22,'GSS-62'!H22)</f>
        <v>1399915</v>
      </c>
      <c r="I22" s="132">
        <f>SUM('GSS-09'!I22,'GSS-97'!I22,'GSS-62'!I22)</f>
        <v>1031267</v>
      </c>
      <c r="J22" s="132">
        <f>SUM('GSS-09'!J22,'GSS-97'!J22,'GSS-62'!J22)</f>
        <v>848579</v>
      </c>
      <c r="K22" s="439">
        <f>SUM('GSS-09'!K22,'GSS-97'!K22,'GSS-62'!K22)</f>
        <v>661361</v>
      </c>
      <c r="L22" s="439">
        <f>SUM('GSS-09'!L22,'GSS-97'!L22,'GSS-62'!L22)</f>
        <v>694564</v>
      </c>
      <c r="M22" s="439">
        <f>SUM('GSS-09'!M22,'GSS-97'!M22,'GSS-62'!M22)</f>
        <v>857035</v>
      </c>
      <c r="N22" s="439">
        <f>SUM('GSS-09'!N22,'GSS-97'!N22,'GSS-62'!N22)</f>
        <v>1033585</v>
      </c>
      <c r="O22" s="20"/>
      <c r="P22" s="20"/>
      <c r="Q22" s="20"/>
      <c r="R22" s="182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</row>
    <row r="23" spans="1:38" s="32" customFormat="1">
      <c r="A23" s="112" t="s">
        <v>449</v>
      </c>
      <c r="B23" s="188">
        <f>SUM('GSS-09'!B23,'GSS-97'!B23,'GSS-62'!B23)</f>
        <v>6068254.8381129308</v>
      </c>
      <c r="C23" s="188">
        <f>SUM('GSS-09'!C23,'GSS-97'!C23,'GSS-62'!C23)</f>
        <v>6739243.6633129306</v>
      </c>
      <c r="D23" s="188">
        <f>SUM('GSS-09'!D23,'GSS-97'!D23,'GSS-62'!D23)</f>
        <v>7343083.813312931</v>
      </c>
      <c r="E23" s="188">
        <f>SUM('GSS-09'!E23,'GSS-97'!E23,'GSS-62'!E23)</f>
        <v>7852445.8499999996</v>
      </c>
      <c r="F23" s="188">
        <f>SUM('GSS-09'!F23,'GSS-97'!F23,'GSS-62'!F23)</f>
        <v>8690883.3477634229</v>
      </c>
      <c r="G23" s="188">
        <f>SUM('GSS-09'!G23,'GSS-97'!G23,'GSS-62'!G23)</f>
        <v>8648218.6528377533</v>
      </c>
      <c r="H23" s="188">
        <f>SUM('GSS-09'!H23,'GSS-97'!H23,'GSS-62'!H23)</f>
        <v>6946328.6903271237</v>
      </c>
      <c r="I23" s="188">
        <f>SUM('GSS-09'!I23,'GSS-97'!I23,'GSS-62'!I23)</f>
        <v>5114940.6275469419</v>
      </c>
      <c r="J23" s="188">
        <f>SUM('GSS-09'!J23,'GSS-97'!J23,'GSS-62'!J23)</f>
        <v>4204937.397347156</v>
      </c>
      <c r="K23" s="437">
        <f>SUM('GSS-09'!K23,'GSS-97'!K23,'GSS-62'!K23)</f>
        <v>3271367.9510605549</v>
      </c>
      <c r="L23" s="437">
        <f>SUM('GSS-09'!L23,'GSS-97'!L23,'GSS-62'!L23)</f>
        <v>3372149.5562343672</v>
      </c>
      <c r="M23" s="437">
        <f>SUM('GSS-09'!M23,'GSS-97'!M23,'GSS-62'!M23)</f>
        <v>4095844.1362343673</v>
      </c>
      <c r="N23" s="437">
        <f>SUM('GSS-09'!N23,'GSS-97'!N23,'GSS-62'!N23)</f>
        <v>4873423.3012343664</v>
      </c>
      <c r="R23" s="199"/>
    </row>
    <row r="24" spans="1:38">
      <c r="A24" s="1" t="s">
        <v>746</v>
      </c>
      <c r="B24" s="408">
        <f t="shared" ref="B24:L24" si="8">B23/B22</f>
        <v>5.2138103793368318</v>
      </c>
      <c r="C24" s="408">
        <f t="shared" si="8"/>
        <v>5.1853219402304811</v>
      </c>
      <c r="D24" s="408">
        <f t="shared" si="8"/>
        <v>5.1712841112562922</v>
      </c>
      <c r="E24" s="408">
        <f t="shared" si="8"/>
        <v>5.0615419745080876</v>
      </c>
      <c r="F24" s="408">
        <f t="shared" si="8"/>
        <v>4.9649735567839972</v>
      </c>
      <c r="G24" s="408">
        <f t="shared" si="8"/>
        <v>4.962967290945886</v>
      </c>
      <c r="H24" s="408">
        <f t="shared" si="8"/>
        <v>4.9619646123708394</v>
      </c>
      <c r="I24" s="408">
        <f t="shared" si="8"/>
        <v>4.9598606641606313</v>
      </c>
      <c r="J24" s="408">
        <f t="shared" si="8"/>
        <v>4.9552692175356166</v>
      </c>
      <c r="K24" s="442">
        <f t="shared" si="8"/>
        <v>4.9464179941976543</v>
      </c>
      <c r="L24" s="442">
        <f t="shared" si="8"/>
        <v>4.85505951393157</v>
      </c>
      <c r="M24" s="442">
        <f t="shared" ref="M24:N24" si="9">M23/M22</f>
        <v>4.7790861939528346</v>
      </c>
      <c r="N24" s="442">
        <f t="shared" si="9"/>
        <v>4.7150677508229766</v>
      </c>
      <c r="O24" s="20"/>
      <c r="P24" s="20"/>
      <c r="Q24" s="20"/>
      <c r="R24" s="182"/>
      <c r="S24" s="20"/>
      <c r="T24" s="20"/>
      <c r="U24" s="20"/>
      <c r="V24" s="20"/>
      <c r="W24" s="20"/>
      <c r="X24" s="20"/>
      <c r="Y24" s="20"/>
      <c r="Z24" s="20"/>
    </row>
    <row r="25" spans="1:38" s="22" customFormat="1">
      <c r="A25" s="1"/>
      <c r="B25" s="29"/>
      <c r="R25" s="131"/>
    </row>
    <row r="26" spans="1:38">
      <c r="A26" s="31" t="s">
        <v>452</v>
      </c>
      <c r="B26" s="22">
        <f t="shared" ref="B26:C28" si="10">B18-B22</f>
        <v>0</v>
      </c>
      <c r="C26" s="108">
        <f t="shared" si="10"/>
        <v>0</v>
      </c>
      <c r="D26" s="108">
        <f t="shared" ref="D26:E28" si="11">D18-D22</f>
        <v>0</v>
      </c>
      <c r="E26" s="108">
        <f t="shared" si="11"/>
        <v>0</v>
      </c>
      <c r="F26" s="108">
        <f t="shared" ref="F26:G28" si="12">F18-F22</f>
        <v>-31108</v>
      </c>
      <c r="G26" s="108">
        <f t="shared" si="12"/>
        <v>-31108</v>
      </c>
      <c r="H26" s="108">
        <f t="shared" ref="H26:I28" si="13">H18-H22</f>
        <v>-31108</v>
      </c>
      <c r="I26" s="108">
        <f t="shared" si="13"/>
        <v>-31108</v>
      </c>
      <c r="J26" s="108">
        <f t="shared" ref="J26:K28" si="14">J18-J22</f>
        <v>-31108</v>
      </c>
      <c r="K26" s="108">
        <f t="shared" si="14"/>
        <v>-31108</v>
      </c>
      <c r="L26" s="108">
        <f t="shared" ref="L26:M28" si="15">L18-L22</f>
        <v>31255</v>
      </c>
      <c r="M26" s="108">
        <f t="shared" si="15"/>
        <v>31255</v>
      </c>
      <c r="N26" s="108">
        <f t="shared" ref="N26" si="16">N18-N22</f>
        <v>31255</v>
      </c>
      <c r="O26" s="20"/>
      <c r="P26" s="20"/>
      <c r="Q26" s="20"/>
      <c r="R26" s="182"/>
      <c r="S26" s="20"/>
      <c r="T26" s="20"/>
      <c r="U26" s="20"/>
      <c r="V26" s="20"/>
      <c r="W26" s="20"/>
      <c r="X26" s="20"/>
      <c r="Y26" s="20"/>
      <c r="Z26" s="20"/>
    </row>
    <row r="27" spans="1:38" s="30" customFormat="1">
      <c r="A27" s="110" t="s">
        <v>453</v>
      </c>
      <c r="B27" s="30">
        <f t="shared" si="10"/>
        <v>0</v>
      </c>
      <c r="C27" s="30">
        <f t="shared" si="10"/>
        <v>-10228.397447066382</v>
      </c>
      <c r="D27" s="30">
        <f t="shared" si="11"/>
        <v>-20879.605927049182</v>
      </c>
      <c r="E27" s="30">
        <f t="shared" si="11"/>
        <v>-43826.539999550208</v>
      </c>
      <c r="F27" s="30">
        <f t="shared" si="12"/>
        <v>-225278.26621078327</v>
      </c>
      <c r="G27" s="30">
        <f t="shared" si="12"/>
        <v>-226104.97577971406</v>
      </c>
      <c r="H27" s="30">
        <f t="shared" si="13"/>
        <v>-225973.0311020473</v>
      </c>
      <c r="I27" s="30">
        <f t="shared" si="13"/>
        <v>-256584.98729750514</v>
      </c>
      <c r="J27" s="30">
        <f t="shared" si="14"/>
        <v>-303883.05767616443</v>
      </c>
      <c r="K27" s="30">
        <f t="shared" si="14"/>
        <v>-320929.18300697301</v>
      </c>
      <c r="L27" s="30">
        <f t="shared" si="15"/>
        <v>3543.0772277116776</v>
      </c>
      <c r="M27" s="30">
        <f t="shared" si="15"/>
        <v>19846.694129119627</v>
      </c>
      <c r="N27" s="30">
        <f t="shared" ref="N27" si="17">N19-N23</f>
        <v>33021.775042939931</v>
      </c>
      <c r="R27" s="192"/>
    </row>
    <row r="28" spans="1:38" s="24" customFormat="1">
      <c r="A28" s="198" t="s">
        <v>747</v>
      </c>
      <c r="B28" s="29">
        <f t="shared" si="10"/>
        <v>0</v>
      </c>
      <c r="C28" s="29">
        <f t="shared" si="10"/>
        <v>-7.8699534169386354E-3</v>
      </c>
      <c r="D28" s="29">
        <f t="shared" si="11"/>
        <v>-1.4704227423372629E-2</v>
      </c>
      <c r="E28" s="29">
        <f t="shared" si="11"/>
        <v>-2.8249780519681522E-2</v>
      </c>
      <c r="F28" s="29">
        <f t="shared" si="12"/>
        <v>-4.119501643740886E-2</v>
      </c>
      <c r="G28" s="29">
        <f t="shared" si="12"/>
        <v>-4.1904422874377012E-2</v>
      </c>
      <c r="H28" s="29">
        <f t="shared" si="13"/>
        <v>-5.232018534418259E-2</v>
      </c>
      <c r="I28" s="29">
        <f t="shared" si="13"/>
        <v>-0.10227737965343131</v>
      </c>
      <c r="J28" s="29">
        <f t="shared" si="14"/>
        <v>-0.1831680180178461</v>
      </c>
      <c r="K28" s="29">
        <f t="shared" si="14"/>
        <v>-0.26506182762076858</v>
      </c>
      <c r="L28" s="29">
        <f t="shared" si="15"/>
        <v>-0.20418562738123303</v>
      </c>
      <c r="M28" s="29">
        <f t="shared" si="15"/>
        <v>-0.1458123415358461</v>
      </c>
      <c r="N28" s="29">
        <f t="shared" ref="N28" si="18">N20-N24</f>
        <v>-0.1073848348193458</v>
      </c>
      <c r="O28" s="21"/>
      <c r="P28" s="21"/>
      <c r="Q28" s="21"/>
      <c r="R28" s="182"/>
      <c r="S28" s="21"/>
      <c r="T28" s="21"/>
      <c r="U28" s="21"/>
      <c r="V28" s="21"/>
      <c r="W28" s="21"/>
      <c r="X28" s="21"/>
      <c r="Y28" s="21"/>
      <c r="Z28" s="21"/>
    </row>
    <row r="29" spans="1:38" s="24" customFormat="1">
      <c r="A29" s="198"/>
      <c r="B29" s="2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82"/>
      <c r="S29" s="21"/>
      <c r="T29" s="21"/>
      <c r="U29" s="21"/>
      <c r="V29" s="21"/>
      <c r="W29" s="21"/>
      <c r="X29" s="21"/>
      <c r="Y29" s="21"/>
      <c r="Z29" s="21"/>
    </row>
    <row r="30" spans="1:38" s="24" customFormat="1">
      <c r="A30" s="31" t="s">
        <v>288</v>
      </c>
      <c r="B30" s="132">
        <f>SUM('GSS-09'!B30,'GSS-97'!B30,'GSS-62'!B30)</f>
        <v>0</v>
      </c>
      <c r="C30" s="132">
        <f>SUM('GSS-09'!C30,'GSS-97'!C30,'GSS-62'!C30)</f>
        <v>1299677</v>
      </c>
      <c r="D30" s="132">
        <f>SUM('GSS-09'!D30,'GSS-97'!D30,'GSS-62'!D30)</f>
        <v>1419973</v>
      </c>
      <c r="E30" s="132">
        <f>SUM('GSS-09'!E30,'GSS-97'!E30,'GSS-62'!E30)</f>
        <v>1551394</v>
      </c>
      <c r="F30" s="132">
        <f>SUM('GSS-09'!F30,'GSS-97'!F30,'GSS-62'!F30)</f>
        <v>1750439</v>
      </c>
      <c r="G30" s="132">
        <f>SUM('GSS-09'!G30,'GSS-97'!G30,'GSS-62'!G30)</f>
        <v>1742550</v>
      </c>
      <c r="H30" s="132">
        <f>SUM('GSS-09'!H30,'GSS-97'!H30,'GSS-62'!H30)</f>
        <v>1399915</v>
      </c>
      <c r="I30" s="132">
        <f>SUM('GSS-09'!I30,'GSS-97'!I30,'GSS-62'!I30)</f>
        <v>1031267</v>
      </c>
      <c r="J30" s="132">
        <f>SUM('GSS-09'!J30,'GSS-97'!J30,'GSS-62'!J30)</f>
        <v>848579</v>
      </c>
      <c r="K30" s="132">
        <f>SUM('GSS-09'!K30,'GSS-97'!K30,'GSS-62'!K30)</f>
        <v>661361</v>
      </c>
      <c r="L30" s="132">
        <f>SUM('GSS-09'!L30,'GSS-97'!L30,'GSS-62'!L30)</f>
        <v>694564</v>
      </c>
      <c r="M30" s="132">
        <f>SUM('GSS-09'!M30,'GSS-97'!M30,'GSS-62'!M30)</f>
        <v>857035</v>
      </c>
      <c r="N30" s="132">
        <f>SUM('GSS-09'!N30,'GSS-97'!N30,'GSS-62'!N30)</f>
        <v>1033585</v>
      </c>
      <c r="O30" s="21"/>
      <c r="P30" s="21"/>
      <c r="Q30" s="21"/>
      <c r="R30" s="182"/>
      <c r="S30" s="21"/>
      <c r="T30" s="21"/>
      <c r="U30" s="21"/>
      <c r="V30" s="21"/>
      <c r="W30" s="21"/>
      <c r="X30" s="21"/>
      <c r="Y30" s="21"/>
      <c r="Z30" s="21"/>
    </row>
    <row r="31" spans="1:38" s="24" customFormat="1">
      <c r="A31" s="1" t="s">
        <v>287</v>
      </c>
      <c r="B31" s="108">
        <f t="shared" ref="B31:M31" si="19">B18-B30</f>
        <v>1163881</v>
      </c>
      <c r="C31" s="108">
        <f t="shared" si="19"/>
        <v>0</v>
      </c>
      <c r="D31" s="108">
        <f t="shared" si="19"/>
        <v>0</v>
      </c>
      <c r="E31" s="108">
        <f t="shared" si="19"/>
        <v>0</v>
      </c>
      <c r="F31" s="108">
        <f t="shared" si="19"/>
        <v>-31108</v>
      </c>
      <c r="G31" s="108">
        <f t="shared" si="19"/>
        <v>-31108</v>
      </c>
      <c r="H31" s="108">
        <f t="shared" si="19"/>
        <v>-31108</v>
      </c>
      <c r="I31" s="108">
        <f t="shared" si="19"/>
        <v>-31108</v>
      </c>
      <c r="J31" s="108">
        <f t="shared" si="19"/>
        <v>-31108</v>
      </c>
      <c r="K31" s="108">
        <f t="shared" si="19"/>
        <v>-31108</v>
      </c>
      <c r="L31" s="108">
        <f t="shared" si="19"/>
        <v>31255</v>
      </c>
      <c r="M31" s="108">
        <f t="shared" si="19"/>
        <v>31255</v>
      </c>
      <c r="N31" s="108">
        <f t="shared" ref="N31" si="20">N18-N30</f>
        <v>31255</v>
      </c>
      <c r="O31" s="21"/>
      <c r="P31" s="21"/>
      <c r="Q31" s="21"/>
      <c r="R31" s="182"/>
      <c r="S31" s="21"/>
      <c r="T31" s="21"/>
      <c r="U31" s="21"/>
      <c r="V31" s="21"/>
      <c r="W31" s="21"/>
      <c r="X31" s="21"/>
      <c r="Y31" s="21"/>
      <c r="Z31" s="21"/>
    </row>
    <row r="32" spans="1:38" s="24" customFormat="1">
      <c r="A32" s="210"/>
      <c r="B32" s="128"/>
      <c r="C32" s="128"/>
      <c r="D32" s="128"/>
      <c r="E32" s="128"/>
      <c r="F32" s="140"/>
      <c r="G32" s="128"/>
      <c r="H32" s="128"/>
      <c r="I32" s="128"/>
      <c r="J32" s="128"/>
      <c r="K32" s="140"/>
      <c r="L32" s="128"/>
      <c r="M32" s="128"/>
      <c r="N32" s="128"/>
      <c r="O32" s="128"/>
      <c r="P32" s="128"/>
      <c r="Q32" s="128"/>
      <c r="R32" s="140"/>
      <c r="S32" s="128"/>
      <c r="T32" s="128"/>
      <c r="U32" s="128"/>
      <c r="V32" s="128"/>
      <c r="W32" s="140"/>
      <c r="X32" s="128"/>
      <c r="Y32" s="128"/>
      <c r="Z32" s="128"/>
      <c r="AA32" s="128"/>
      <c r="AB32" s="128"/>
      <c r="AC32" s="128"/>
      <c r="AD32" s="140"/>
      <c r="AE32" s="128"/>
      <c r="AF32" s="128"/>
      <c r="AG32" s="128"/>
      <c r="AH32" s="128"/>
      <c r="AI32" s="140"/>
      <c r="AJ32" s="128"/>
      <c r="AK32" s="128"/>
      <c r="AL32" s="128"/>
    </row>
    <row r="33" spans="1:38" s="28" customFormat="1">
      <c r="A33" s="210"/>
      <c r="E33" s="129"/>
      <c r="F33" s="129"/>
    </row>
    <row r="34" spans="1:38" s="39" customFormat="1">
      <c r="A34" s="211"/>
    </row>
    <row r="35" spans="1:38" s="24" customFormat="1">
      <c r="A35" s="170"/>
      <c r="B35" s="17"/>
      <c r="C35" s="17"/>
      <c r="D35" s="17"/>
      <c r="E35" s="17"/>
      <c r="F35" s="19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9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97"/>
      <c r="AE35" s="17"/>
      <c r="AF35" s="17"/>
      <c r="AG35" s="17"/>
      <c r="AH35" s="17"/>
      <c r="AI35" s="17"/>
      <c r="AJ35" s="17"/>
      <c r="AK35" s="17"/>
      <c r="AL35" s="17"/>
    </row>
    <row r="36" spans="1:38" s="24" customFormat="1">
      <c r="A36" s="170"/>
      <c r="B36" s="17"/>
      <c r="C36" s="17"/>
      <c r="D36" s="17"/>
      <c r="E36" s="17"/>
      <c r="F36" s="19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9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97"/>
      <c r="AE36" s="17"/>
      <c r="AF36" s="17"/>
      <c r="AG36" s="17"/>
      <c r="AH36" s="17"/>
      <c r="AI36" s="17"/>
      <c r="AJ36" s="17"/>
      <c r="AK36" s="17"/>
      <c r="AL36" s="17"/>
    </row>
    <row r="37" spans="1:38" s="24" customFormat="1">
      <c r="A37" s="170"/>
      <c r="B37" s="17"/>
      <c r="C37" s="17"/>
      <c r="D37" s="17"/>
      <c r="E37" s="17"/>
      <c r="F37" s="19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9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97"/>
      <c r="AE37" s="17"/>
      <c r="AF37" s="17"/>
      <c r="AG37" s="17"/>
      <c r="AH37" s="17"/>
      <c r="AI37" s="17"/>
      <c r="AJ37" s="17"/>
      <c r="AK37" s="17"/>
      <c r="AL37" s="17"/>
    </row>
    <row r="38" spans="1:38" s="24" customFormat="1">
      <c r="A38" s="170"/>
      <c r="B38" s="17"/>
      <c r="C38" s="17"/>
      <c r="D38" s="17"/>
      <c r="E38" s="17"/>
      <c r="F38" s="19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9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97"/>
      <c r="AE38" s="17"/>
      <c r="AF38" s="17"/>
      <c r="AG38" s="17"/>
      <c r="AH38" s="17"/>
      <c r="AI38" s="17"/>
      <c r="AJ38" s="17"/>
      <c r="AK38" s="17"/>
      <c r="AL38" s="17"/>
    </row>
    <row r="39" spans="1:38" s="24" customFormat="1">
      <c r="A39" s="35"/>
    </row>
    <row r="40" spans="1:38" s="28" customFormat="1">
      <c r="A40" s="208"/>
    </row>
    <row r="41" spans="1:38" s="24" customFormat="1">
      <c r="A41" s="35"/>
      <c r="E41" s="28"/>
    </row>
  </sheetData>
  <phoneticPr fontId="10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/>
  <dimension ref="A1:AN42"/>
  <sheetViews>
    <sheetView zoomScale="50" workbookViewId="0">
      <pane xSplit="2" ySplit="3" topLeftCell="H4" activePane="bottomRight" state="frozen"/>
      <selection activeCell="I74" sqref="I74"/>
      <selection pane="topRight" activeCell="I74" sqref="I74"/>
      <selection pane="bottomLeft" activeCell="I74" sqref="I74"/>
      <selection pane="bottomRight" activeCell="P46" sqref="P46"/>
    </sheetView>
  </sheetViews>
  <sheetFormatPr defaultRowHeight="20.25"/>
  <cols>
    <col min="1" max="1" width="32.44140625" style="1" bestFit="1" customWidth="1"/>
    <col min="2" max="2" width="17.88671875" style="1" bestFit="1" customWidth="1"/>
    <col min="3" max="5" width="18.109375" style="1" bestFit="1" customWidth="1"/>
    <col min="6" max="8" width="19.44140625" style="1" bestFit="1" customWidth="1"/>
    <col min="9" max="9" width="18.109375" style="1" bestFit="1" customWidth="1"/>
    <col min="10" max="10" width="16.109375" style="1" bestFit="1" customWidth="1"/>
    <col min="11" max="11" width="15.44140625" style="1" bestFit="1" customWidth="1"/>
    <col min="12" max="19" width="15.21875" style="1" bestFit="1" customWidth="1"/>
    <col min="20" max="20" width="15.44140625" style="1" bestFit="1" customWidth="1"/>
    <col min="21" max="21" width="16.77734375" style="1" bestFit="1" customWidth="1"/>
    <col min="22" max="23" width="15.44140625" style="1" bestFit="1" customWidth="1"/>
    <col min="24" max="31" width="15.21875" style="1" bestFit="1" customWidth="1"/>
    <col min="32" max="32" width="15.44140625" style="1" bestFit="1" customWidth="1"/>
    <col min="33" max="33" width="16.77734375" style="1" bestFit="1" customWidth="1"/>
    <col min="34" max="35" width="15.44140625" style="1" bestFit="1" customWidth="1"/>
    <col min="36" max="38" width="15.21875" style="1" bestFit="1" customWidth="1"/>
    <col min="39" max="39" width="14.109375" style="1" bestFit="1" customWidth="1"/>
    <col min="40" max="40" width="12.109375" style="1" bestFit="1" customWidth="1"/>
    <col min="41" max="16384" width="8.88671875" style="1"/>
  </cols>
  <sheetData>
    <row r="1" spans="1:40">
      <c r="C1" s="13" t="s">
        <v>55</v>
      </c>
      <c r="D1" s="22">
        <f>SUM(FSS!D1,'GSS-TOT'!D1)</f>
        <v>4520925</v>
      </c>
      <c r="O1" s="13" t="s">
        <v>55</v>
      </c>
      <c r="P1" s="22">
        <f>SUM(FSS!P1,'GSS-TOT'!P1)</f>
        <v>4520925</v>
      </c>
      <c r="AA1" s="13" t="s">
        <v>55</v>
      </c>
      <c r="AB1" s="22">
        <f>SUM(FSS!AB1,'GSS-TOT'!AB1)</f>
        <v>4520925</v>
      </c>
      <c r="AM1" s="13" t="s">
        <v>55</v>
      </c>
      <c r="AN1" s="22">
        <f>SUM(FSS!AN1,'GSS-TOT'!AN1)</f>
        <v>4520925</v>
      </c>
    </row>
    <row r="3" spans="1:40">
      <c r="A3" s="4"/>
      <c r="B3" s="46">
        <v>40330</v>
      </c>
      <c r="C3" s="46">
        <v>40360</v>
      </c>
      <c r="D3" s="46">
        <v>40391</v>
      </c>
      <c r="E3" s="46">
        <v>40422</v>
      </c>
      <c r="F3" s="46">
        <v>40452</v>
      </c>
      <c r="G3" s="46">
        <v>40483</v>
      </c>
      <c r="H3" s="46">
        <v>40513</v>
      </c>
      <c r="I3" s="46">
        <v>40544</v>
      </c>
      <c r="J3" s="46">
        <v>40575</v>
      </c>
      <c r="K3" s="46">
        <v>40603</v>
      </c>
      <c r="L3" s="46">
        <v>40634</v>
      </c>
      <c r="M3" s="46">
        <v>40664</v>
      </c>
      <c r="N3" s="46">
        <v>40695</v>
      </c>
      <c r="O3" s="46">
        <v>40725</v>
      </c>
      <c r="P3" s="46">
        <v>40756</v>
      </c>
      <c r="Q3" s="46">
        <v>40787</v>
      </c>
      <c r="R3" s="46">
        <v>40817</v>
      </c>
      <c r="S3" s="46">
        <v>40848</v>
      </c>
      <c r="T3" s="46">
        <v>40878</v>
      </c>
      <c r="U3" s="46">
        <v>40909</v>
      </c>
      <c r="V3" s="46">
        <v>40940</v>
      </c>
      <c r="W3" s="46">
        <v>40969</v>
      </c>
      <c r="X3" s="46">
        <v>41000</v>
      </c>
      <c r="Y3" s="46">
        <v>41030</v>
      </c>
      <c r="Z3" s="46">
        <v>41061</v>
      </c>
      <c r="AA3" s="46">
        <v>41091</v>
      </c>
      <c r="AB3" s="46">
        <v>41122</v>
      </c>
      <c r="AC3" s="46">
        <v>41153</v>
      </c>
      <c r="AD3" s="46">
        <v>41183</v>
      </c>
      <c r="AE3" s="46">
        <v>41214</v>
      </c>
      <c r="AF3" s="46">
        <v>41244</v>
      </c>
      <c r="AG3" s="46">
        <v>41275</v>
      </c>
      <c r="AH3" s="46">
        <v>41306</v>
      </c>
      <c r="AI3" s="46">
        <v>41334</v>
      </c>
      <c r="AJ3" s="46">
        <v>41365</v>
      </c>
      <c r="AK3" s="46">
        <v>41395</v>
      </c>
      <c r="AL3" s="46">
        <v>41426</v>
      </c>
      <c r="AM3" s="46">
        <v>41456</v>
      </c>
      <c r="AN3" s="10"/>
    </row>
    <row r="4" spans="1:40">
      <c r="A4" s="4" t="s">
        <v>346</v>
      </c>
      <c r="B4" s="46"/>
      <c r="C4" s="28">
        <f>SUM(FSS!C6,'GSS-TOT'!C5)</f>
        <v>458091.92</v>
      </c>
      <c r="D4" s="28">
        <f>SUM(FSS!D6,'GSS-TOT'!D5)</f>
        <v>485674.58</v>
      </c>
      <c r="E4" s="28">
        <f>SUM(FSS!E6,'GSS-TOT'!E5)</f>
        <v>343661.28</v>
      </c>
      <c r="F4" s="28">
        <f>SUM(FSS!F6,'GSS-TOT'!F5)</f>
        <v>237430.64</v>
      </c>
      <c r="G4" s="28">
        <f>SUM(FSS!G6,'GSS-TOT'!G5)</f>
        <v>0</v>
      </c>
      <c r="H4" s="28">
        <f>SUM(FSS!H6,'GSS-TOT'!H5)</f>
        <v>0</v>
      </c>
      <c r="I4" s="28">
        <f>SUM(FSS!I6,'GSS-TOT'!I5)</f>
        <v>0</v>
      </c>
      <c r="J4" s="28">
        <f>SUM(FSS!J6,'GSS-TOT'!J5)</f>
        <v>0</v>
      </c>
      <c r="K4" s="28">
        <f>SUM(FSS!K6,'GSS-TOT'!K5)</f>
        <v>0</v>
      </c>
      <c r="L4" s="28">
        <f>SUM(FSS!L6,'GSS-TOT'!L5)</f>
        <v>396743.94</v>
      </c>
      <c r="M4" s="28">
        <f>SUM(FSS!M6,'GSS-TOT'!M5)</f>
        <v>512024.58</v>
      </c>
      <c r="N4" s="28">
        <f>SUM(FSS!N6,'GSS-TOT'!N5)</f>
        <v>507074.58</v>
      </c>
      <c r="O4" s="28">
        <f>SUM(FSS!O6,'GSS-TOT'!O5)</f>
        <v>484441.92</v>
      </c>
      <c r="P4" s="28">
        <f>SUM(FSS!P6,'GSS-TOT'!P5)</f>
        <v>512024.58</v>
      </c>
      <c r="Q4" s="28">
        <f>SUM(FSS!Q6,'GSS-TOT'!Q5)</f>
        <v>369161.28</v>
      </c>
      <c r="R4" s="28">
        <f>SUM(FSS!R6,'GSS-TOT'!R5)</f>
        <v>263780.64</v>
      </c>
      <c r="S4" s="28">
        <f>SUM(FSS!S6,'GSS-TOT'!S5)</f>
        <v>0</v>
      </c>
      <c r="T4" s="28">
        <f>SUM(FSS!T6,'GSS-TOT'!T5)</f>
        <v>0</v>
      </c>
      <c r="U4" s="28">
        <f>SUM(FSS!U6,'GSS-TOT'!U5)</f>
        <v>0</v>
      </c>
      <c r="V4" s="28">
        <f>SUM(FSS!V6,'GSS-TOT'!V5)</f>
        <v>0</v>
      </c>
      <c r="W4" s="28">
        <f>SUM(FSS!W6,'GSS-TOT'!W5)</f>
        <v>0</v>
      </c>
      <c r="X4" s="28">
        <f>SUM(FSS!X6,'GSS-TOT'!X5)</f>
        <v>402743.94</v>
      </c>
      <c r="Y4" s="28">
        <f>SUM(FSS!Y6,'GSS-TOT'!Y5)</f>
        <v>518224.58</v>
      </c>
      <c r="Z4" s="28">
        <f>SUM(FSS!Z6,'GSS-TOT'!Z5)</f>
        <v>513074.58</v>
      </c>
      <c r="AA4" s="28">
        <f>SUM(FSS!AA6,'GSS-TOT'!AA5)</f>
        <v>490641.91999999998</v>
      </c>
      <c r="AB4" s="28">
        <f>SUM(FSS!AB6,'GSS-TOT'!AB5)</f>
        <v>518224.58</v>
      </c>
      <c r="AC4" s="28">
        <f>SUM(FSS!AC6,'GSS-TOT'!AC5)</f>
        <v>375161.28</v>
      </c>
      <c r="AD4" s="28">
        <f>SUM(FSS!AD6,'GSS-TOT'!AD5)</f>
        <v>269980.64</v>
      </c>
      <c r="AE4" s="28">
        <f>SUM(FSS!AE6,'GSS-TOT'!AE5)</f>
        <v>0</v>
      </c>
      <c r="AF4" s="28">
        <f>SUM(FSS!AF6,'GSS-TOT'!AF5)</f>
        <v>0</v>
      </c>
      <c r="AG4" s="28">
        <f>SUM(FSS!AG6,'GSS-TOT'!AG5)</f>
        <v>0</v>
      </c>
      <c r="AH4" s="28">
        <f>SUM(FSS!AH6,'GSS-TOT'!AH5)</f>
        <v>0</v>
      </c>
      <c r="AI4" s="28">
        <f>SUM(FSS!AI6,'GSS-TOT'!AI5)</f>
        <v>0</v>
      </c>
      <c r="AJ4" s="28">
        <f>SUM(FSS!AJ6,'GSS-TOT'!AJ5)</f>
        <v>402743.94</v>
      </c>
      <c r="AK4" s="28">
        <f>SUM(FSS!AK6,'GSS-TOT'!AK5)</f>
        <v>518224.58</v>
      </c>
      <c r="AL4" s="28">
        <f>SUM(FSS!AL6,'GSS-TOT'!AL5)</f>
        <v>513074.58</v>
      </c>
      <c r="AM4" s="28">
        <f>SUM(FSS!AM6,'GSS-TOT'!AM5)</f>
        <v>159650</v>
      </c>
      <c r="AN4" s="10"/>
    </row>
    <row r="5" spans="1:40">
      <c r="A5" s="208" t="s">
        <v>196</v>
      </c>
      <c r="B5" s="28"/>
      <c r="C5" s="28">
        <f>SUM(FSS!C8,'GSS-TOT'!C6)</f>
        <v>917781</v>
      </c>
      <c r="D5" s="28">
        <f>SUM(FSS!D8,'GSS-TOT'!D6)</f>
        <v>875304</v>
      </c>
      <c r="E5" s="28">
        <f>SUM(FSS!E8,'GSS-TOT'!E6)</f>
        <v>388690</v>
      </c>
      <c r="F5" s="28">
        <f>SUM(FSS!F8,'GSS-TOT'!F6)</f>
        <v>248543</v>
      </c>
      <c r="G5" s="28">
        <f>SUM(FSS!G8,'GSS-TOT'!G6)</f>
        <v>63128</v>
      </c>
      <c r="H5" s="28">
        <f>SUM(FSS!H8,'GSS-TOT'!H6)</f>
        <v>21098</v>
      </c>
      <c r="I5" s="28">
        <f>SUM(FSS!I8,'GSS-TOT'!I6)</f>
        <v>45562</v>
      </c>
      <c r="J5" s="28">
        <f>SUM(FSS!J8,'GSS-TOT'!J6)</f>
        <v>37562</v>
      </c>
      <c r="K5" s="28">
        <f>SUM(FSS!K8,'GSS-TOT'!K6)</f>
        <v>14111</v>
      </c>
      <c r="L5" s="28">
        <f>SUM(FSS!L8,'GSS-TOT'!L6)</f>
        <v>347470</v>
      </c>
      <c r="M5" s="28">
        <f>SUM(FSS!M8,'GSS-TOT'!M6)</f>
        <v>611444</v>
      </c>
      <c r="N5" s="28">
        <f>SUM(FSS!N8,'GSS-TOT'!N6)</f>
        <v>533120</v>
      </c>
      <c r="O5" s="28">
        <f>SUM(FSS!O8,'GSS-TOT'!O6)</f>
        <v>484441.92</v>
      </c>
      <c r="P5" s="28">
        <f>SUM(FSS!P8,'GSS-TOT'!P6)</f>
        <v>512024.58</v>
      </c>
      <c r="Q5" s="28">
        <f>SUM(FSS!Q8,'GSS-TOT'!Q6)</f>
        <v>369161.28</v>
      </c>
      <c r="R5" s="28">
        <f>SUM(FSS!R8,'GSS-TOT'!R6)</f>
        <v>263780.64</v>
      </c>
      <c r="S5" s="28">
        <f>SUM(FSS!S8,'GSS-TOT'!S6)</f>
        <v>0</v>
      </c>
      <c r="T5" s="28">
        <f>SUM(FSS!T8,'GSS-TOT'!T6)</f>
        <v>0</v>
      </c>
      <c r="U5" s="28">
        <f>SUM(FSS!U8,'GSS-TOT'!U6)</f>
        <v>0</v>
      </c>
      <c r="V5" s="28">
        <f>SUM(FSS!V8,'GSS-TOT'!V6)</f>
        <v>0</v>
      </c>
      <c r="W5" s="28">
        <f>SUM(FSS!W8,'GSS-TOT'!W6)</f>
        <v>0</v>
      </c>
      <c r="X5" s="28">
        <f>SUM(FSS!X8,'GSS-TOT'!X6)</f>
        <v>402743.94</v>
      </c>
      <c r="Y5" s="28">
        <f>SUM(FSS!Y8,'GSS-TOT'!Y6)</f>
        <v>518224.58</v>
      </c>
      <c r="Z5" s="28">
        <f>SUM(FSS!Z8,'GSS-TOT'!Z6)</f>
        <v>513074.58</v>
      </c>
      <c r="AA5" s="28">
        <f>SUM(FSS!AA8,'GSS-TOT'!AA6)</f>
        <v>490641.91999999998</v>
      </c>
      <c r="AB5" s="28">
        <f>SUM(FSS!AB8,'GSS-TOT'!AB6)</f>
        <v>518224.58</v>
      </c>
      <c r="AC5" s="28">
        <f>SUM(FSS!AC8,'GSS-TOT'!AC6)</f>
        <v>375161.28</v>
      </c>
      <c r="AD5" s="28">
        <f>SUM(FSS!AD8,'GSS-TOT'!AD6)</f>
        <v>269980.64</v>
      </c>
      <c r="AE5" s="28">
        <f>SUM(FSS!AE8,'GSS-TOT'!AE6)</f>
        <v>0</v>
      </c>
      <c r="AF5" s="28">
        <f>SUM(FSS!AF8,'GSS-TOT'!AF6)</f>
        <v>0</v>
      </c>
      <c r="AG5" s="28">
        <f>SUM(FSS!AG8,'GSS-TOT'!AG6)</f>
        <v>0</v>
      </c>
      <c r="AH5" s="28">
        <f>SUM(FSS!AH8,'GSS-TOT'!AH6)</f>
        <v>0</v>
      </c>
      <c r="AI5" s="28">
        <f>SUM(FSS!AI8,'GSS-TOT'!AI6)</f>
        <v>0</v>
      </c>
      <c r="AJ5" s="28">
        <f>SUM(FSS!AJ8,'GSS-TOT'!AJ6)</f>
        <v>402743.94</v>
      </c>
      <c r="AK5" s="28">
        <f>SUM(FSS!AK8,'GSS-TOT'!AK6)</f>
        <v>518224.58</v>
      </c>
      <c r="AL5" s="28">
        <f>SUM(FSS!AL8,'GSS-TOT'!AL6)</f>
        <v>513074.58</v>
      </c>
      <c r="AM5" s="28">
        <f>SUM(FSS!AM8,'GSS-TOT'!AM6)</f>
        <v>159650</v>
      </c>
      <c r="AN5" s="28"/>
    </row>
    <row r="6" spans="1:40">
      <c r="A6" s="7" t="s">
        <v>57</v>
      </c>
      <c r="B6" s="16"/>
      <c r="C6" s="16">
        <f t="shared" ref="C6:H6" si="0">C7/C5</f>
        <v>4.6438069894378096</v>
      </c>
      <c r="D6" s="16">
        <f t="shared" si="0"/>
        <v>4.7130661033681829</v>
      </c>
      <c r="E6" s="16">
        <f t="shared" si="0"/>
        <v>3.6242047112064086</v>
      </c>
      <c r="F6" s="16">
        <f t="shared" si="0"/>
        <v>3.8760557478240174</v>
      </c>
      <c r="G6" s="16">
        <f t="shared" si="0"/>
        <v>3.6593120571867686</v>
      </c>
      <c r="H6" s="16">
        <f t="shared" si="0"/>
        <v>3.4806599009098931</v>
      </c>
      <c r="I6" s="16">
        <f>I7/I5</f>
        <v>4.0475417523062349</v>
      </c>
      <c r="J6" s="16">
        <f>J7/J5</f>
        <v>2.803406969469151</v>
      </c>
      <c r="K6" s="16">
        <f>K7/K5</f>
        <v>2.4428380216653856</v>
      </c>
      <c r="L6" s="16">
        <f t="shared" ref="L6:R6" si="1">L7/L5</f>
        <v>4.2097598814806849</v>
      </c>
      <c r="M6" s="16">
        <f t="shared" si="1"/>
        <v>4.32647166263681</v>
      </c>
      <c r="N6" s="16">
        <f t="shared" si="1"/>
        <v>4.2919280098570525</v>
      </c>
      <c r="O6" s="16">
        <f t="shared" si="1"/>
        <v>4.3943772360575242</v>
      </c>
      <c r="P6" s="16">
        <f t="shared" si="1"/>
        <v>4.3909784850563236</v>
      </c>
      <c r="Q6" s="16">
        <f t="shared" si="1"/>
        <v>4.0241697404451511</v>
      </c>
      <c r="R6" s="16">
        <f t="shared" si="1"/>
        <v>4.0906253377806641</v>
      </c>
      <c r="S6" s="16"/>
      <c r="T6" s="16"/>
      <c r="U6" s="16"/>
      <c r="V6" s="16"/>
      <c r="W6" s="16"/>
      <c r="X6" s="16">
        <f t="shared" ref="X6:AD6" si="2">X7/X5</f>
        <v>4.4340990139292975</v>
      </c>
      <c r="Y6" s="16">
        <f t="shared" si="2"/>
        <v>4.4559439087586314</v>
      </c>
      <c r="Z6" s="16">
        <f t="shared" si="2"/>
        <v>4.4875619197115553</v>
      </c>
      <c r="AA6" s="16">
        <f t="shared" si="2"/>
        <v>4.5278964528754484</v>
      </c>
      <c r="AB6" s="16">
        <f t="shared" si="2"/>
        <v>4.5509439087586312</v>
      </c>
      <c r="AC6" s="16">
        <f t="shared" si="2"/>
        <v>4.560650258576791</v>
      </c>
      <c r="AD6" s="16">
        <f t="shared" si="2"/>
        <v>4.6025236283609079</v>
      </c>
      <c r="AE6" s="16"/>
      <c r="AF6" s="16"/>
      <c r="AG6" s="16"/>
      <c r="AH6" s="16"/>
      <c r="AI6" s="16"/>
      <c r="AJ6" s="16">
        <f>AJ7/AJ5</f>
        <v>4.819286677386132</v>
      </c>
      <c r="AK6" s="16">
        <f>AK7/AK5</f>
        <v>4.8326087563040714</v>
      </c>
      <c r="AL6" s="16">
        <f>AL7/AL5</f>
        <v>4.8677302982735959</v>
      </c>
      <c r="AM6" s="16">
        <f>AM7/AM5</f>
        <v>0</v>
      </c>
      <c r="AN6" s="16"/>
    </row>
    <row r="7" spans="1:40">
      <c r="A7" s="4" t="s">
        <v>58</v>
      </c>
      <c r="B7" s="25"/>
      <c r="C7" s="39">
        <f>SUM(FSS!C10,'GSS-TOT'!C8)</f>
        <v>4261997.8225732222</v>
      </c>
      <c r="D7" s="39">
        <f>SUM(FSS!D10,'GSS-TOT'!D8)</f>
        <v>4125365.6125425836</v>
      </c>
      <c r="E7" s="39">
        <f>SUM(FSS!E10,'GSS-TOT'!E8)</f>
        <v>1408692.1291988189</v>
      </c>
      <c r="F7" s="39">
        <f>SUM(FSS!F10,'GSS-TOT'!F8)</f>
        <v>963366.52373142471</v>
      </c>
      <c r="G7" s="39">
        <f>SUM(FSS!G10,'GSS-TOT'!G8)</f>
        <v>231005.05154608632</v>
      </c>
      <c r="H7" s="39">
        <f>SUM(FSS!H10,'GSS-TOT'!H8)</f>
        <v>73434.962589396921</v>
      </c>
      <c r="I7" s="39">
        <f>SUM(FSS!I10,'GSS-TOT'!I8)</f>
        <v>184414.09731857668</v>
      </c>
      <c r="J7" s="39">
        <f>SUM(FSS!J10,'GSS-TOT'!J8)</f>
        <v>105301.57258720025</v>
      </c>
      <c r="K7" s="39">
        <f>SUM(FSS!K10,'GSS-TOT'!K8)</f>
        <v>34470.887323720257</v>
      </c>
      <c r="L7" s="39">
        <f>SUM(FSS!L10,'GSS-TOT'!L8)</f>
        <v>1462765.2660180936</v>
      </c>
      <c r="M7" s="39">
        <f>SUM(FSS!M10,'GSS-TOT'!M8)</f>
        <v>2645395.1392893018</v>
      </c>
      <c r="N7" s="39">
        <f>SUM(FSS!N10,'GSS-TOT'!N8)</f>
        <v>2288112.660614992</v>
      </c>
      <c r="O7" s="39">
        <f>SUM(FSS!O10,'GSS-TOT'!O8)</f>
        <v>2128820.54544</v>
      </c>
      <c r="P7" s="39">
        <f>SUM(FSS!P10,'GSS-TOT'!P8)</f>
        <v>2248288.9146000003</v>
      </c>
      <c r="Q7" s="39">
        <f>SUM(FSS!Q10,'GSS-TOT'!Q8)</f>
        <v>1485567.6523199999</v>
      </c>
      <c r="R7" s="39">
        <f>SUM(FSS!R10,'GSS-TOT'!R8)</f>
        <v>1079027.7695999998</v>
      </c>
      <c r="S7" s="39">
        <f>SUM(FSS!S10,'GSS-TOT'!S8)</f>
        <v>0</v>
      </c>
      <c r="T7" s="39">
        <f>SUM(FSS!T10,'GSS-TOT'!T8)</f>
        <v>0</v>
      </c>
      <c r="U7" s="39">
        <f>SUM(FSS!U10,'GSS-TOT'!U8)</f>
        <v>0</v>
      </c>
      <c r="V7" s="39">
        <f>SUM(FSS!V10,'GSS-TOT'!V8)</f>
        <v>0</v>
      </c>
      <c r="W7" s="39">
        <f>SUM(FSS!W10,'GSS-TOT'!W8)</f>
        <v>0</v>
      </c>
      <c r="X7" s="39">
        <f>SUM(FSS!X10,'GSS-TOT'!X8)</f>
        <v>1785806.50722</v>
      </c>
      <c r="Y7" s="39">
        <f>SUM(FSS!Y10,'GSS-TOT'!Y8)</f>
        <v>2309179.6606200002</v>
      </c>
      <c r="Z7" s="39">
        <f>SUM(FSS!Z10,'GSS-TOT'!Z8)</f>
        <v>2302453.9471800001</v>
      </c>
      <c r="AA7" s="39">
        <f>SUM(FSS!AA10,'GSS-TOT'!AA8)</f>
        <v>2221575.8091999996</v>
      </c>
      <c r="AB7" s="39">
        <f>SUM(FSS!AB10,'GSS-TOT'!AB8)</f>
        <v>2358410.99572</v>
      </c>
      <c r="AC7" s="39">
        <f>SUM(FSS!AC10,'GSS-TOT'!AC8)</f>
        <v>1710979.38864</v>
      </c>
      <c r="AD7" s="39">
        <f>SUM(FSS!AD10,'GSS-TOT'!AD8)</f>
        <v>1242592.2748</v>
      </c>
      <c r="AE7" s="39">
        <f>SUM(FSS!AE10,'GSS-TOT'!AE8)</f>
        <v>0</v>
      </c>
      <c r="AF7" s="39">
        <f>SUM(FSS!AF10,'GSS-TOT'!AF8)</f>
        <v>0</v>
      </c>
      <c r="AG7" s="39">
        <f>SUM(FSS!AG10,'GSS-TOT'!AG8)</f>
        <v>0</v>
      </c>
      <c r="AH7" s="39">
        <f>SUM(FSS!AH10,'GSS-TOT'!AH8)</f>
        <v>0</v>
      </c>
      <c r="AI7" s="39">
        <f>SUM(FSS!AI10,'GSS-TOT'!AI8)</f>
        <v>0</v>
      </c>
      <c r="AJ7" s="39">
        <f>SUM(FSS!AJ10,'GSS-TOT'!AJ8)</f>
        <v>1940938.5044399998</v>
      </c>
      <c r="AK7" s="39">
        <f>SUM(FSS!AK10,'GSS-TOT'!AK8)</f>
        <v>2504376.64304</v>
      </c>
      <c r="AL7" s="39">
        <f>SUM(FSS!AL10,'GSS-TOT'!AL8)</f>
        <v>2497508.6783400001</v>
      </c>
      <c r="AM7" s="39">
        <f>SUM(FSS!AM10,'GSS-TOT'!AM8)</f>
        <v>0</v>
      </c>
      <c r="AN7" s="10"/>
    </row>
    <row r="8" spans="1:40">
      <c r="A8" s="4" t="s">
        <v>197</v>
      </c>
      <c r="B8" s="10"/>
      <c r="C8" s="10"/>
      <c r="D8" s="10"/>
      <c r="E8" s="10"/>
      <c r="F8" s="10"/>
      <c r="G8" s="10"/>
      <c r="H8" s="124">
        <f>H9/$D$1</f>
        <v>-0.19830332951774249</v>
      </c>
      <c r="I8" s="124">
        <f>I9/$D$1</f>
        <v>-0.22777630020405118</v>
      </c>
      <c r="J8" s="124">
        <f>J9/$D$1</f>
        <v>-0.18600086929112958</v>
      </c>
      <c r="K8" s="124">
        <f>K9/$D$1</f>
        <v>-7.7603437349657439E-2</v>
      </c>
      <c r="L8" s="10"/>
      <c r="M8" s="10"/>
      <c r="N8" s="10"/>
      <c r="O8" s="10"/>
      <c r="P8" s="10"/>
      <c r="Q8" s="10"/>
      <c r="R8" s="10"/>
      <c r="S8" s="10"/>
      <c r="T8" s="124"/>
      <c r="U8" s="124"/>
      <c r="V8" s="124"/>
      <c r="W8" s="124"/>
      <c r="X8" s="10"/>
      <c r="Y8" s="10"/>
      <c r="Z8" s="10"/>
      <c r="AA8" s="10"/>
      <c r="AB8" s="10"/>
      <c r="AC8" s="10"/>
      <c r="AD8" s="10"/>
      <c r="AE8" s="10"/>
      <c r="AF8" s="124"/>
      <c r="AG8" s="124"/>
      <c r="AH8" s="124"/>
      <c r="AI8" s="124"/>
      <c r="AJ8" s="10"/>
      <c r="AK8" s="10"/>
      <c r="AL8" s="10"/>
      <c r="AM8" s="10"/>
      <c r="AN8" s="10"/>
    </row>
    <row r="9" spans="1:40">
      <c r="A9" s="4" t="s">
        <v>347</v>
      </c>
      <c r="B9" s="10"/>
      <c r="C9" s="10"/>
      <c r="D9" s="10"/>
      <c r="E9" s="10"/>
      <c r="F9" s="10"/>
      <c r="G9" s="10"/>
      <c r="H9" s="107">
        <f>SUM(FSS!H12,'GSS-TOT'!H10)</f>
        <v>-896514.48</v>
      </c>
      <c r="I9" s="107">
        <f>SUM(FSS!I12,'GSS-TOT'!I10)</f>
        <v>-1029759.5700000001</v>
      </c>
      <c r="J9" s="107">
        <f>SUM(FSS!J12,'GSS-TOT'!J10)</f>
        <v>-840895.98</v>
      </c>
      <c r="K9" s="107">
        <f>SUM(FSS!K12,'GSS-TOT'!K10)</f>
        <v>-350839.32000000007</v>
      </c>
      <c r="L9" s="10"/>
      <c r="M9" s="10"/>
      <c r="N9" s="10"/>
      <c r="O9" s="10"/>
      <c r="P9" s="10"/>
      <c r="Q9" s="10"/>
      <c r="R9" s="10"/>
      <c r="S9" s="10"/>
      <c r="T9" s="107">
        <f>SUM(FSS!T12,'GSS-TOT'!T10)</f>
        <v>-896514.48</v>
      </c>
      <c r="U9" s="107">
        <f>SUM(FSS!U12,'GSS-TOT'!U10)</f>
        <v>-1029759.5700000001</v>
      </c>
      <c r="V9" s="107">
        <f>SUM(FSS!V12,'GSS-TOT'!V10)</f>
        <v>-840895.98</v>
      </c>
      <c r="W9" s="107">
        <f>SUM(FSS!W12,'GSS-TOT'!W10)</f>
        <v>-350839.32000000007</v>
      </c>
      <c r="X9" s="10"/>
      <c r="Y9" s="10"/>
      <c r="Z9" s="10"/>
      <c r="AA9" s="10"/>
      <c r="AB9" s="10"/>
      <c r="AC9" s="10"/>
      <c r="AD9" s="10"/>
      <c r="AE9" s="10"/>
      <c r="AF9" s="107">
        <f>SUM(FSS!AF12,'GSS-TOT'!AF10)</f>
        <v>-896514.48</v>
      </c>
      <c r="AG9" s="107">
        <f>SUM(FSS!AG12,'GSS-TOT'!AG10)</f>
        <v>-1029759.5700000001</v>
      </c>
      <c r="AH9" s="107">
        <f>SUM(FSS!AH12,'GSS-TOT'!AH10)</f>
        <v>-840895.98</v>
      </c>
      <c r="AI9" s="107">
        <f>SUM(FSS!AI12,'GSS-TOT'!AI10)</f>
        <v>-350839.32000000007</v>
      </c>
      <c r="AJ9" s="10"/>
      <c r="AK9" s="10"/>
      <c r="AL9" s="10"/>
      <c r="AM9" s="10"/>
      <c r="AN9" s="10"/>
    </row>
    <row r="10" spans="1:40">
      <c r="A10" s="209" t="s">
        <v>198</v>
      </c>
      <c r="B10" s="107"/>
      <c r="C10" s="107">
        <f>SUM(FSS!C13,'GSS-TOT'!C11)</f>
        <v>0</v>
      </c>
      <c r="D10" s="107">
        <f>SUM(FSS!D13,'GSS-TOT'!D11)</f>
        <v>0</v>
      </c>
      <c r="E10" s="107">
        <f>SUM(FSS!E13,'GSS-TOT'!E11)</f>
        <v>0</v>
      </c>
      <c r="F10" s="107">
        <f>SUM(FSS!F13,'GSS-TOT'!F11)</f>
        <v>-54102</v>
      </c>
      <c r="G10" s="107">
        <f>SUM(FSS!G13,'GSS-TOT'!G11)</f>
        <v>-197336</v>
      </c>
      <c r="H10" s="107">
        <f>SUM(FSS!H13,'GSS-TOT'!H11)</f>
        <v>-911051</v>
      </c>
      <c r="I10" s="107">
        <f>SUM(FSS!I13,'GSS-TOT'!I11)</f>
        <v>-841222</v>
      </c>
      <c r="J10" s="107">
        <f>SUM(FSS!J13,'GSS-TOT'!J11)</f>
        <v>-543564</v>
      </c>
      <c r="K10" s="107">
        <f>SUM(FSS!K13,'GSS-TOT'!K11)</f>
        <v>-746089</v>
      </c>
      <c r="L10" s="107"/>
      <c r="M10" s="107"/>
      <c r="N10" s="107"/>
      <c r="O10" s="107"/>
      <c r="P10" s="107"/>
      <c r="Q10" s="107"/>
      <c r="R10" s="107"/>
      <c r="S10" s="107"/>
      <c r="T10" s="107">
        <f>SUM(FSS!T13,'GSS-TOT'!T11)</f>
        <v>-896514.48</v>
      </c>
      <c r="U10" s="107">
        <f>SUM(FSS!U13,'GSS-TOT'!U11)</f>
        <v>-1029759.5700000001</v>
      </c>
      <c r="V10" s="107">
        <f>SUM(FSS!V13,'GSS-TOT'!V11)</f>
        <v>-840895.98</v>
      </c>
      <c r="W10" s="107">
        <f>SUM(FSS!W13,'GSS-TOT'!W11)</f>
        <v>-350839.32000000007</v>
      </c>
      <c r="X10" s="107"/>
      <c r="Y10" s="107"/>
      <c r="Z10" s="107"/>
      <c r="AA10" s="107"/>
      <c r="AB10" s="107"/>
      <c r="AC10" s="107"/>
      <c r="AD10" s="107"/>
      <c r="AE10" s="107"/>
      <c r="AF10" s="107">
        <f>SUM(FSS!AF13,'GSS-TOT'!AF11)</f>
        <v>-896514.48</v>
      </c>
      <c r="AG10" s="107">
        <f>SUM(FSS!AG13,'GSS-TOT'!AG11)</f>
        <v>-1029759.5700000001</v>
      </c>
      <c r="AH10" s="107">
        <f>SUM(FSS!AH13,'GSS-TOT'!AH11)</f>
        <v>-840895.98</v>
      </c>
      <c r="AI10" s="107">
        <f>SUM(FSS!AI13,'GSS-TOT'!AI11)</f>
        <v>-350839.32000000007</v>
      </c>
      <c r="AJ10" s="107"/>
      <c r="AK10" s="107"/>
      <c r="AL10" s="107"/>
      <c r="AM10" s="107"/>
      <c r="AN10" s="107"/>
    </row>
    <row r="11" spans="1:40">
      <c r="A11" s="4" t="s">
        <v>59</v>
      </c>
      <c r="B11" s="10"/>
      <c r="C11" s="10"/>
      <c r="D11" s="10"/>
      <c r="E11" s="10"/>
      <c r="F11" s="20">
        <f>F12/F10</f>
        <v>4.5397101988303579</v>
      </c>
      <c r="G11" s="20">
        <f>G12/G10</f>
        <v>4.5382538092252025</v>
      </c>
      <c r="H11" s="20">
        <f>+G19</f>
        <v>4.669967962505484</v>
      </c>
      <c r="I11" s="20">
        <f>+H19</f>
        <v>4.6663242142702401</v>
      </c>
      <c r="J11" s="20">
        <f>+I19</f>
        <v>4.6353889156982584</v>
      </c>
      <c r="K11" s="20">
        <f>+J19</f>
        <v>4.6006252526478537</v>
      </c>
      <c r="L11" s="10"/>
      <c r="M11" s="10"/>
      <c r="N11" s="10"/>
      <c r="O11" s="10"/>
      <c r="P11" s="10"/>
      <c r="Q11" s="10"/>
      <c r="R11" s="10"/>
      <c r="S11" s="20">
        <f>+R19</f>
        <v>4.3599589621895047</v>
      </c>
      <c r="T11" s="20">
        <f>+S19</f>
        <v>4.3599589621895047</v>
      </c>
      <c r="U11" s="20">
        <f>+T19</f>
        <v>4.354351759952813</v>
      </c>
      <c r="V11" s="20">
        <f>+U19</f>
        <v>4.3390920586169113</v>
      </c>
      <c r="W11" s="20">
        <f>+V19</f>
        <v>4.3130447681571438</v>
      </c>
      <c r="X11" s="10"/>
      <c r="Y11" s="10"/>
      <c r="Z11" s="10"/>
      <c r="AA11" s="10"/>
      <c r="AB11" s="10"/>
      <c r="AC11" s="10"/>
      <c r="AD11" s="10"/>
      <c r="AE11" s="20">
        <f>+AD19</f>
        <v>4.4522972141869515</v>
      </c>
      <c r="AF11" s="20">
        <f>+AE19</f>
        <v>4.4522972141869515</v>
      </c>
      <c r="AG11" s="20">
        <f>+AF19</f>
        <v>4.4453060652299525</v>
      </c>
      <c r="AH11" s="20">
        <f>+AG19</f>
        <v>4.4292466394380279</v>
      </c>
      <c r="AI11" s="20">
        <f>+AH19</f>
        <v>4.4008567606139684</v>
      </c>
      <c r="AJ11" s="10"/>
      <c r="AK11" s="10"/>
      <c r="AL11" s="10"/>
      <c r="AM11" s="10"/>
      <c r="AN11" s="10"/>
    </row>
    <row r="12" spans="1:40">
      <c r="A12" s="4" t="s">
        <v>60</v>
      </c>
      <c r="B12" s="10"/>
      <c r="C12" s="30">
        <f>SUM(FSS!C15,'GSS-TOT'!C13)</f>
        <v>0</v>
      </c>
      <c r="D12" s="30">
        <f>SUM(FSS!D15,'GSS-TOT'!D13)</f>
        <v>0</v>
      </c>
      <c r="E12" s="30">
        <f>SUM(FSS!E15,'GSS-TOT'!E13)</f>
        <v>0</v>
      </c>
      <c r="F12" s="30">
        <f>SUM(FSS!F15,'GSS-TOT'!F13)</f>
        <v>-245607.40117712002</v>
      </c>
      <c r="G12" s="30">
        <f>SUM(FSS!G15,'GSS-TOT'!G13)</f>
        <v>-895560.85369726457</v>
      </c>
      <c r="H12" s="30">
        <f>SUM(FSS!H15,'GSS-TOT'!H13)</f>
        <v>-4241503.754548762</v>
      </c>
      <c r="I12" s="30">
        <f>SUM(FSS!I15,'GSS-TOT'!I13)</f>
        <v>-3974629.8127848618</v>
      </c>
      <c r="J12" s="30">
        <f>SUM(FSS!J15,'GSS-TOT'!J13)</f>
        <v>-2520214.9099456891</v>
      </c>
      <c r="K12" s="30">
        <f>SUM(FSS!K15,'GSS-TOT'!K13)</f>
        <v>-3431546.4649530677</v>
      </c>
      <c r="L12" s="30">
        <f>SUM(FSS!L15,'GSS-TOT'!L13)</f>
        <v>-132331.0319077867</v>
      </c>
      <c r="M12" s="30">
        <f>SUM(FSS!M15,'GSS-TOT'!M13)</f>
        <v>0</v>
      </c>
      <c r="N12" s="30">
        <f>SUM(FSS!N15,'GSS-TOT'!N13)</f>
        <v>0</v>
      </c>
      <c r="O12" s="30">
        <f>SUM(FSS!O15,'GSS-TOT'!O13)</f>
        <v>0</v>
      </c>
      <c r="P12" s="30">
        <f>SUM(FSS!P15,'GSS-TOT'!P13)</f>
        <v>0</v>
      </c>
      <c r="Q12" s="30">
        <f>SUM(FSS!Q15,'GSS-TOT'!Q13)</f>
        <v>0</v>
      </c>
      <c r="R12" s="30">
        <f>SUM(FSS!R15,'GSS-TOT'!R13)</f>
        <v>0</v>
      </c>
      <c r="S12" s="30">
        <f>SUM(FSS!S15,'GSS-TOT'!S13)</f>
        <v>0</v>
      </c>
      <c r="T12" s="30">
        <f>SUM(FSS!T15,'GSS-TOT'!T13)</f>
        <v>-3928165.1865463583</v>
      </c>
      <c r="U12" s="30">
        <f>SUM(FSS!U15,'GSS-TOT'!U13)</f>
        <v>-4521014.4920889111</v>
      </c>
      <c r="V12" s="30">
        <f>SUM(FSS!V15,'GSS-TOT'!V13)</f>
        <v>-3690113.5464103469</v>
      </c>
      <c r="W12" s="30">
        <f>SUM(FSS!W15,'GSS-TOT'!W13)</f>
        <v>-1522847.760195236</v>
      </c>
      <c r="X12" s="30">
        <f>SUM(FSS!X15,'GSS-TOT'!X13)</f>
        <v>0</v>
      </c>
      <c r="Y12" s="30">
        <f>SUM(FSS!Y15,'GSS-TOT'!Y13)</f>
        <v>0</v>
      </c>
      <c r="Z12" s="30">
        <f>SUM(FSS!Z15,'GSS-TOT'!Z13)</f>
        <v>0</v>
      </c>
      <c r="AA12" s="30">
        <f>SUM(FSS!AA15,'GSS-TOT'!AA13)</f>
        <v>0</v>
      </c>
      <c r="AB12" s="30">
        <f>SUM(FSS!AB15,'GSS-TOT'!AB13)</f>
        <v>0</v>
      </c>
      <c r="AC12" s="30">
        <f>SUM(FSS!AC15,'GSS-TOT'!AC13)</f>
        <v>0</v>
      </c>
      <c r="AD12" s="30">
        <f>SUM(FSS!AD15,'GSS-TOT'!AD13)</f>
        <v>0</v>
      </c>
      <c r="AE12" s="30">
        <f>SUM(FSS!AE15,'GSS-TOT'!AE13)</f>
        <v>0</v>
      </c>
      <c r="AF12" s="30">
        <f>SUM(FSS!AF15,'GSS-TOT'!AF13)</f>
        <v>-4015526.2703769393</v>
      </c>
      <c r="AG12" s="30">
        <f>SUM(FSS!AG15,'GSS-TOT'!AG13)</f>
        <v>-4616137.6795928311</v>
      </c>
      <c r="AH12" s="30">
        <f>SUM(FSS!AH15,'GSS-TOT'!AH13)</f>
        <v>-3768795.9847550481</v>
      </c>
      <c r="AI12" s="30">
        <f>SUM(FSS!AI15,'GSS-TOT'!AI13)</f>
        <v>-1565350.8134946686</v>
      </c>
      <c r="AJ12" s="30">
        <f>SUM(FSS!AJ15,'GSS-TOT'!AJ13)</f>
        <v>0</v>
      </c>
      <c r="AK12" s="30">
        <f>SUM(FSS!AK15,'GSS-TOT'!AK13)</f>
        <v>0</v>
      </c>
      <c r="AL12" s="30">
        <f>SUM(FSS!AL15,'GSS-TOT'!AL13)</f>
        <v>0</v>
      </c>
      <c r="AM12" s="30">
        <f>SUM(FSS!AM15,'GSS-TOT'!AM13)</f>
        <v>0</v>
      </c>
      <c r="AN12" s="10"/>
    </row>
    <row r="13" spans="1:40">
      <c r="A13" s="4" t="s">
        <v>456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</row>
    <row r="14" spans="1:40">
      <c r="A14" s="7" t="s">
        <v>457</v>
      </c>
      <c r="B14" s="16"/>
      <c r="C14" s="16"/>
      <c r="D14" s="16"/>
      <c r="E14" s="16"/>
      <c r="F14" s="16"/>
      <c r="G14" s="16"/>
      <c r="H14" s="16"/>
      <c r="J14" s="108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>
      <c r="A15" s="4" t="s">
        <v>458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>
      <c r="A16" s="4" t="s">
        <v>350</v>
      </c>
      <c r="B16" s="124">
        <f t="shared" ref="B16:N16" si="3">B17/$D$1</f>
        <v>0.43041324507705836</v>
      </c>
      <c r="C16" s="124">
        <f t="shared" si="3"/>
        <v>0.63342059423679886</v>
      </c>
      <c r="D16" s="124">
        <f t="shared" si="3"/>
        <v>0.82703229980590254</v>
      </c>
      <c r="E16" s="124">
        <f t="shared" si="3"/>
        <v>0.91300806803917345</v>
      </c>
      <c r="F16" s="134">
        <f t="shared" si="3"/>
        <v>0.95601718674828717</v>
      </c>
      <c r="G16" s="124">
        <f t="shared" si="3"/>
        <v>0.92633122646361088</v>
      </c>
      <c r="H16" s="124">
        <f t="shared" si="3"/>
        <v>0.72947925479852016</v>
      </c>
      <c r="I16" s="124">
        <f t="shared" si="3"/>
        <v>0.55348429801423382</v>
      </c>
      <c r="J16" s="124">
        <f t="shared" si="3"/>
        <v>0.44155985777246914</v>
      </c>
      <c r="K16" s="134">
        <f t="shared" si="3"/>
        <v>0.27965095638613779</v>
      </c>
      <c r="L16" s="124">
        <f t="shared" si="3"/>
        <v>0.34996643386032728</v>
      </c>
      <c r="M16" s="124">
        <f t="shared" si="3"/>
        <v>0.48521397722811149</v>
      </c>
      <c r="N16" s="124">
        <f t="shared" si="3"/>
        <v>0.60313674745765522</v>
      </c>
      <c r="O16" s="124">
        <f>O17/$P$1</f>
        <v>0.71029223444317258</v>
      </c>
      <c r="P16" s="124">
        <f>P17/$P$1</f>
        <v>0.82354883126793743</v>
      </c>
      <c r="Q16" s="124">
        <f>Q17/$P$1</f>
        <v>0.90520497022180191</v>
      </c>
      <c r="R16" s="134">
        <f>R17/$P$1</f>
        <v>0.96355157849333928</v>
      </c>
      <c r="S16" s="124">
        <f>S17/$P$1</f>
        <v>0.96355157849333928</v>
      </c>
      <c r="T16" s="124">
        <f t="shared" ref="T16:Z16" si="4">T17/$P$1</f>
        <v>0.76524824897559685</v>
      </c>
      <c r="U16" s="124">
        <f t="shared" si="4"/>
        <v>0.53747194877154558</v>
      </c>
      <c r="V16" s="124">
        <f t="shared" si="4"/>
        <v>0.351471079480416</v>
      </c>
      <c r="W16" s="134">
        <f t="shared" si="4"/>
        <v>0.27386764213075854</v>
      </c>
      <c r="X16" s="124">
        <f t="shared" si="4"/>
        <v>0.36295205295376487</v>
      </c>
      <c r="Y16" s="124">
        <f t="shared" si="4"/>
        <v>0.47758005054275393</v>
      </c>
      <c r="Z16" s="124">
        <f t="shared" si="4"/>
        <v>0.59106890072275031</v>
      </c>
      <c r="AA16" s="124">
        <f>AA17/$AB$1</f>
        <v>0.69959578847249182</v>
      </c>
      <c r="AB16" s="124">
        <f t="shared" ref="AB16:AL16" si="5">AB17/$AB$1</f>
        <v>0.81422378606148071</v>
      </c>
      <c r="AC16" s="124">
        <f t="shared" si="5"/>
        <v>0.89720708704523944</v>
      </c>
      <c r="AD16" s="134">
        <f t="shared" si="5"/>
        <v>0.95692509608100107</v>
      </c>
      <c r="AE16" s="124">
        <f t="shared" si="5"/>
        <v>0.95692509608100107</v>
      </c>
      <c r="AF16" s="124">
        <f t="shared" si="5"/>
        <v>0.75862176656325864</v>
      </c>
      <c r="AG16" s="124">
        <f t="shared" si="5"/>
        <v>0.53084546635920737</v>
      </c>
      <c r="AH16" s="124">
        <f t="shared" si="5"/>
        <v>0.3448445970680778</v>
      </c>
      <c r="AI16" s="134">
        <f t="shared" si="5"/>
        <v>0.26724115971842033</v>
      </c>
      <c r="AJ16" s="124">
        <f t="shared" si="5"/>
        <v>0.35632557054142672</v>
      </c>
      <c r="AK16" s="124">
        <f t="shared" si="5"/>
        <v>0.47095356813041572</v>
      </c>
      <c r="AL16" s="124">
        <f t="shared" si="5"/>
        <v>0.5844424183104121</v>
      </c>
      <c r="AM16" s="10"/>
      <c r="AN16" s="10"/>
    </row>
    <row r="17" spans="1:40">
      <c r="A17" s="4" t="s">
        <v>348</v>
      </c>
      <c r="B17" s="132">
        <f>SUM(FSS!B21,'GSS-TOT'!B18)</f>
        <v>1945866</v>
      </c>
      <c r="C17" s="132">
        <f>SUM(FSS!C21,'GSS-TOT'!C18)</f>
        <v>2863647</v>
      </c>
      <c r="D17" s="132">
        <f>SUM(FSS!D21,'GSS-TOT'!D18)</f>
        <v>3738951</v>
      </c>
      <c r="E17" s="132">
        <f>SUM(FSS!E21,'GSS-TOT'!E18)</f>
        <v>4127641</v>
      </c>
      <c r="F17" s="132">
        <f>SUM(FSS!F21,'GSS-TOT'!F18)</f>
        <v>4322082</v>
      </c>
      <c r="G17" s="132">
        <f>SUM(FSS!G21,'GSS-TOT'!G18)</f>
        <v>4187874</v>
      </c>
      <c r="H17" s="132">
        <f>SUM(FSS!H21,'GSS-TOT'!H18)</f>
        <v>3297921</v>
      </c>
      <c r="I17" s="132">
        <f>SUM(FSS!I21,'GSS-TOT'!I18)</f>
        <v>2502261</v>
      </c>
      <c r="J17" s="132">
        <f>SUM(FSS!J21,'GSS-TOT'!J18)</f>
        <v>1996259</v>
      </c>
      <c r="K17" s="439">
        <f>SUM(FSS!K21,'GSS-TOT'!K18)</f>
        <v>1264281</v>
      </c>
      <c r="L17" s="439">
        <f>SUM(FSS!L21,'GSS-TOT'!L18)</f>
        <v>1582172</v>
      </c>
      <c r="M17" s="439">
        <f>SUM(FSS!M21,'GSS-TOT'!M18)</f>
        <v>2193616</v>
      </c>
      <c r="N17" s="439">
        <f>SUM(FSS!N21,'GSS-TOT'!N18)</f>
        <v>2726736</v>
      </c>
      <c r="O17" s="28">
        <f>SUM(FSS!O21,'GSS-TOT'!O18)</f>
        <v>3211177.92</v>
      </c>
      <c r="P17" s="28">
        <f>SUM(FSS!P21,'GSS-TOT'!P18)</f>
        <v>3723202.5</v>
      </c>
      <c r="Q17" s="28">
        <f>SUM(FSS!Q21,'GSS-TOT'!Q18)</f>
        <v>4092363.78</v>
      </c>
      <c r="R17" s="28">
        <f>SUM(FSS!R21,'GSS-TOT'!R18)</f>
        <v>4356144.42</v>
      </c>
      <c r="S17" s="28">
        <f>SUM(FSS!S21,'GSS-TOT'!S18)</f>
        <v>4356144.42</v>
      </c>
      <c r="T17" s="28">
        <f>SUM(FSS!T21,'GSS-TOT'!T18)</f>
        <v>3459629.94</v>
      </c>
      <c r="U17" s="28">
        <f>SUM(FSS!U21,'GSS-TOT'!U18)</f>
        <v>2429870.3699999996</v>
      </c>
      <c r="V17" s="28">
        <f>SUM(FSS!V21,'GSS-TOT'!V18)</f>
        <v>1588974.3899999997</v>
      </c>
      <c r="W17" s="28">
        <f>SUM(FSS!W21,'GSS-TOT'!W18)</f>
        <v>1238135.0699999996</v>
      </c>
      <c r="X17" s="28">
        <f>SUM(FSS!X21,'GSS-TOT'!X18)</f>
        <v>1640879.0099999995</v>
      </c>
      <c r="Y17" s="28">
        <f>SUM(FSS!Y21,'GSS-TOT'!Y18)</f>
        <v>2159103.59</v>
      </c>
      <c r="Z17" s="28">
        <f>SUM(FSS!Z21,'GSS-TOT'!Z18)</f>
        <v>2672178.17</v>
      </c>
      <c r="AA17" s="28">
        <f>SUM(FSS!AA21,'GSS-TOT'!AA18)</f>
        <v>3162820.09</v>
      </c>
      <c r="AB17" s="28">
        <f>SUM(FSS!AB21,'GSS-TOT'!AB18)</f>
        <v>3681044.67</v>
      </c>
      <c r="AC17" s="28">
        <f>SUM(FSS!AC21,'GSS-TOT'!AC18)</f>
        <v>4056205.9499999993</v>
      </c>
      <c r="AD17" s="28">
        <f>SUM(FSS!AD21,'GSS-TOT'!AD18)</f>
        <v>4326186.59</v>
      </c>
      <c r="AE17" s="28">
        <f>SUM(FSS!AE21,'GSS-TOT'!AE18)</f>
        <v>4326186.59</v>
      </c>
      <c r="AF17" s="28">
        <f>SUM(FSS!AF21,'GSS-TOT'!AF18)</f>
        <v>3429672.11</v>
      </c>
      <c r="AG17" s="28">
        <f>SUM(FSS!AG21,'GSS-TOT'!AG18)</f>
        <v>2399912.5399999996</v>
      </c>
      <c r="AH17" s="28">
        <f>SUM(FSS!AH21,'GSS-TOT'!AH18)</f>
        <v>1559016.5599999996</v>
      </c>
      <c r="AI17" s="28">
        <f>SUM(FSS!AI21,'GSS-TOT'!AI18)</f>
        <v>1208177.2399999995</v>
      </c>
      <c r="AJ17" s="28">
        <f>SUM(FSS!AJ21,'GSS-TOT'!AJ18)</f>
        <v>1610921.1799999995</v>
      </c>
      <c r="AK17" s="28">
        <f>SUM(FSS!AK21,'GSS-TOT'!AK18)</f>
        <v>2129145.7599999998</v>
      </c>
      <c r="AL17" s="28">
        <f>SUM(FSS!AL21,'GSS-TOT'!AL18)</f>
        <v>2642220.34</v>
      </c>
      <c r="AM17" s="10"/>
      <c r="AN17" s="10"/>
    </row>
    <row r="18" spans="1:40">
      <c r="A18" s="4" t="s">
        <v>349</v>
      </c>
      <c r="B18" s="188">
        <f>SUM(FSS!B22,'GSS-TOT'!B19)</f>
        <v>9707978.5262919385</v>
      </c>
      <c r="C18" s="188">
        <f>SUM(FSS!C22,'GSS-TOT'!C19)</f>
        <v>13969976.348865161</v>
      </c>
      <c r="D18" s="188">
        <f>SUM(FSS!D22,'GSS-TOT'!D19)</f>
        <v>18095341.961407743</v>
      </c>
      <c r="E18" s="188">
        <f>SUM(FSS!E22,'GSS-TOT'!E19)</f>
        <v>19504034.090606563</v>
      </c>
      <c r="F18" s="188">
        <f>SUM(FSS!F22,'GSS-TOT'!F19)</f>
        <v>20221793.213160869</v>
      </c>
      <c r="G18" s="188">
        <f>SUM(FSS!G22,'GSS-TOT'!G19)</f>
        <v>19557237.411009692</v>
      </c>
      <c r="H18" s="188">
        <f>SUM(FSS!H22,'GSS-TOT'!H19)</f>
        <v>15389168.619050324</v>
      </c>
      <c r="I18" s="188">
        <f>SUM(FSS!I22,'GSS-TOT'!I19)</f>
        <v>11598952.903584039</v>
      </c>
      <c r="J18" s="188">
        <f>SUM(FSS!J22,'GSS-TOT'!J19)</f>
        <v>9184039.5662255511</v>
      </c>
      <c r="K18" s="437">
        <f>SUM(FSS!K22,'GSS-TOT'!K19)</f>
        <v>5786963.9885962028</v>
      </c>
      <c r="L18" s="437">
        <f>SUM(FSS!L22,'GSS-TOT'!L19)</f>
        <v>7117398.2227065098</v>
      </c>
      <c r="M18" s="437">
        <f>SUM(FSS!M22,'GSS-TOT'!M19)</f>
        <v>9762793.3619958125</v>
      </c>
      <c r="N18" s="437">
        <f>SUM(FSS!N22,'GSS-TOT'!N19)</f>
        <v>12050906.022610804</v>
      </c>
      <c r="O18" s="39">
        <f>SUM(FSS!O22,'GSS-TOT'!O19)</f>
        <v>14179726.568050804</v>
      </c>
      <c r="P18" s="39">
        <f>SUM(FSS!P22,'GSS-TOT'!P19)</f>
        <v>16428015.482650803</v>
      </c>
      <c r="Q18" s="39">
        <f>SUM(FSS!Q22,'GSS-TOT'!Q19)</f>
        <v>17913583.134970803</v>
      </c>
      <c r="R18" s="39">
        <f>SUM(FSS!R22,'GSS-TOT'!R19)</f>
        <v>18992610.904570803</v>
      </c>
      <c r="S18" s="39">
        <f>SUM(FSS!S22,'GSS-TOT'!S19)</f>
        <v>18992610.904570803</v>
      </c>
      <c r="T18" s="39">
        <f>SUM(FSS!T22,'GSS-TOT'!T19)</f>
        <v>15064445.718024444</v>
      </c>
      <c r="U18" s="39">
        <f>SUM(FSS!U22,'GSS-TOT'!U19)</f>
        <v>10543431.225935534</v>
      </c>
      <c r="V18" s="39">
        <f>SUM(FSS!V22,'GSS-TOT'!V19)</f>
        <v>6853317.6795251872</v>
      </c>
      <c r="W18" s="39">
        <f>SUM(FSS!W22,'GSS-TOT'!W19)</f>
        <v>5330469.9193299506</v>
      </c>
      <c r="X18" s="39">
        <f>SUM(FSS!X22,'GSS-TOT'!X19)</f>
        <v>7116276.4265499506</v>
      </c>
      <c r="Y18" s="39">
        <f>SUM(FSS!Y22,'GSS-TOT'!Y19)</f>
        <v>9425456.0871699508</v>
      </c>
      <c r="Z18" s="39">
        <f>SUM(FSS!Z22,'GSS-TOT'!Z19)</f>
        <v>11727910.034349952</v>
      </c>
      <c r="AA18" s="39">
        <f>SUM(FSS!AA22,'GSS-TOT'!AA19)</f>
        <v>13949485.84354995</v>
      </c>
      <c r="AB18" s="39">
        <f>SUM(FSS!AB22,'GSS-TOT'!AB19)</f>
        <v>16307896.839269949</v>
      </c>
      <c r="AC18" s="39">
        <f>SUM(FSS!AC22,'GSS-TOT'!AC19)</f>
        <v>18018876.227909949</v>
      </c>
      <c r="AD18" s="39">
        <f>SUM(FSS!AD22,'GSS-TOT'!AD19)</f>
        <v>19261468.502709948</v>
      </c>
      <c r="AE18" s="39">
        <f>SUM(FSS!AE22,'GSS-TOT'!AE19)</f>
        <v>19261468.502709948</v>
      </c>
      <c r="AF18" s="39">
        <f>SUM(FSS!AF22,'GSS-TOT'!AF19)</f>
        <v>15245942.232333008</v>
      </c>
      <c r="AG18" s="39">
        <f>SUM(FSS!AG22,'GSS-TOT'!AG19)</f>
        <v>10629804.552740179</v>
      </c>
      <c r="AH18" s="39">
        <f>SUM(FSS!AH22,'GSS-TOT'!AH19)</f>
        <v>6861008.5679851305</v>
      </c>
      <c r="AI18" s="39">
        <f>SUM(FSS!AI22,'GSS-TOT'!AI19)</f>
        <v>5295657.7544904612</v>
      </c>
      <c r="AJ18" s="39">
        <f>SUM(FSS!AJ22,'GSS-TOT'!AJ19)</f>
        <v>7236596.2589304615</v>
      </c>
      <c r="AK18" s="39">
        <f>SUM(FSS!AK22,'GSS-TOT'!AK19)</f>
        <v>9740972.901970461</v>
      </c>
      <c r="AL18" s="39">
        <f>SUM(FSS!AL22,'GSS-TOT'!AL19)</f>
        <v>12238481.580310462</v>
      </c>
      <c r="AM18" s="32"/>
      <c r="AN18" s="32"/>
    </row>
    <row r="19" spans="1:40">
      <c r="A19" s="4" t="s">
        <v>459</v>
      </c>
      <c r="B19" s="20">
        <f t="shared" ref="B19:AL19" si="6">+B18/B17</f>
        <v>4.9890272641034574</v>
      </c>
      <c r="C19" s="20">
        <f t="shared" si="6"/>
        <v>4.8783863195656307</v>
      </c>
      <c r="D19" s="20">
        <f t="shared" si="6"/>
        <v>4.8396841684760625</v>
      </c>
      <c r="E19" s="20">
        <f t="shared" si="6"/>
        <v>4.7252253988674315</v>
      </c>
      <c r="F19" s="135">
        <f t="shared" si="6"/>
        <v>4.6787157701221007</v>
      </c>
      <c r="G19" s="20">
        <f t="shared" si="6"/>
        <v>4.669967962505484</v>
      </c>
      <c r="H19" s="20">
        <f t="shared" si="6"/>
        <v>4.6663242142702401</v>
      </c>
      <c r="I19" s="20">
        <f t="shared" si="6"/>
        <v>4.6353889156982584</v>
      </c>
      <c r="J19" s="20">
        <f t="shared" si="6"/>
        <v>4.6006252526478537</v>
      </c>
      <c r="K19" s="20">
        <f t="shared" si="6"/>
        <v>4.577276719808494</v>
      </c>
      <c r="L19" s="20">
        <f t="shared" si="6"/>
        <v>4.4984984076993584</v>
      </c>
      <c r="M19" s="20">
        <f t="shared" si="6"/>
        <v>4.4505480275471241</v>
      </c>
      <c r="N19" s="20">
        <f t="shared" si="6"/>
        <v>4.4195353061722162</v>
      </c>
      <c r="O19" s="20">
        <f t="shared" si="6"/>
        <v>4.415739931361637</v>
      </c>
      <c r="P19" s="20">
        <f t="shared" si="6"/>
        <v>4.4123346722749579</v>
      </c>
      <c r="Q19" s="20">
        <f t="shared" si="6"/>
        <v>4.3773193435337276</v>
      </c>
      <c r="R19" s="135">
        <f t="shared" si="6"/>
        <v>4.3599589621895047</v>
      </c>
      <c r="S19" s="20">
        <f t="shared" si="6"/>
        <v>4.3599589621895047</v>
      </c>
      <c r="T19" s="20">
        <f t="shared" si="6"/>
        <v>4.354351759952813</v>
      </c>
      <c r="U19" s="20">
        <f t="shared" si="6"/>
        <v>4.3390920586169113</v>
      </c>
      <c r="V19" s="20">
        <f t="shared" si="6"/>
        <v>4.3130447681571438</v>
      </c>
      <c r="W19" s="20">
        <f t="shared" si="6"/>
        <v>4.3052410423443961</v>
      </c>
      <c r="X19" s="20">
        <f t="shared" si="6"/>
        <v>4.3368684608562047</v>
      </c>
      <c r="Y19" s="20">
        <f t="shared" si="6"/>
        <v>4.3654487588388253</v>
      </c>
      <c r="Z19" s="20">
        <f t="shared" si="6"/>
        <v>4.388895233864571</v>
      </c>
      <c r="AA19" s="20">
        <f t="shared" si="6"/>
        <v>4.4104582134325421</v>
      </c>
      <c r="AB19" s="20">
        <f t="shared" si="6"/>
        <v>4.4302360610228479</v>
      </c>
      <c r="AC19" s="20">
        <f t="shared" si="6"/>
        <v>4.4422981599122089</v>
      </c>
      <c r="AD19" s="135">
        <f t="shared" si="6"/>
        <v>4.4522972141869515</v>
      </c>
      <c r="AE19" s="20">
        <f t="shared" si="6"/>
        <v>4.4522972141869515</v>
      </c>
      <c r="AF19" s="20">
        <f t="shared" si="6"/>
        <v>4.4453060652299525</v>
      </c>
      <c r="AG19" s="20">
        <f t="shared" si="6"/>
        <v>4.4292466394380279</v>
      </c>
      <c r="AH19" s="20">
        <f t="shared" si="6"/>
        <v>4.4008567606139684</v>
      </c>
      <c r="AI19" s="20">
        <f t="shared" si="6"/>
        <v>4.3831795362164439</v>
      </c>
      <c r="AJ19" s="20">
        <f t="shared" si="6"/>
        <v>4.4922100154710636</v>
      </c>
      <c r="AK19" s="20">
        <f t="shared" si="6"/>
        <v>4.5750615504926548</v>
      </c>
      <c r="AL19" s="20">
        <f t="shared" si="6"/>
        <v>4.6318928800277357</v>
      </c>
      <c r="AM19" s="10"/>
      <c r="AN19" s="10"/>
    </row>
    <row r="20" spans="1:40" s="31" customFormat="1">
      <c r="A20" s="31" t="s">
        <v>464</v>
      </c>
      <c r="B20" s="22">
        <f>SUM(FSS!B25,'GSS-TOT'!B22)</f>
        <v>1945866</v>
      </c>
      <c r="C20" s="22">
        <f>SUM(FSS!C25,'GSS-TOT'!C22)</f>
        <v>2858163</v>
      </c>
      <c r="D20" s="22">
        <f>SUM(FSS!D25,'GSS-TOT'!D22)</f>
        <v>3733467</v>
      </c>
      <c r="E20" s="22">
        <f>SUM(FSS!E25,'GSS-TOT'!E22)</f>
        <v>4122157</v>
      </c>
      <c r="F20" s="22">
        <f>SUM(FSS!F25,'GSS-TOT'!F22)</f>
        <v>4347706</v>
      </c>
      <c r="G20" s="22">
        <f>SUM(FSS!G25,'GSS-TOT'!G22)</f>
        <v>4213498</v>
      </c>
      <c r="H20" s="22">
        <f>SUM(FSS!H25,'GSS-TOT'!H22)</f>
        <v>3323545</v>
      </c>
      <c r="I20" s="22">
        <f>SUM(FSS!I25,'GSS-TOT'!I22)</f>
        <v>2527885</v>
      </c>
      <c r="J20" s="22">
        <f>SUM(FSS!J25,'GSS-TOT'!J22)</f>
        <v>2021883</v>
      </c>
      <c r="K20" s="22">
        <f>SUM(FSS!K25,'GSS-TOT'!K22)</f>
        <v>1289905</v>
      </c>
      <c r="L20" s="22"/>
      <c r="M20" s="22"/>
      <c r="N20" s="22"/>
      <c r="O20" s="22"/>
      <c r="P20" s="22"/>
      <c r="Q20" s="22"/>
      <c r="R20" s="131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</row>
    <row r="21" spans="1:40" s="112" customFormat="1">
      <c r="A21" s="112" t="s">
        <v>465</v>
      </c>
      <c r="B21" s="32">
        <f>SUM(FSS!B26,'GSS-TOT'!B23)</f>
        <v>9707978.5262919385</v>
      </c>
      <c r="C21" s="32">
        <f>SUM(FSS!C26,'GSS-TOT'!C23)</f>
        <v>14215777.682691937</v>
      </c>
      <c r="D21" s="32">
        <f>SUM(FSS!D26,'GSS-TOT'!D23)</f>
        <v>18609470.732691936</v>
      </c>
      <c r="E21" s="32">
        <f>SUM(FSS!E26,'GSS-TOT'!E23)</f>
        <v>20115957.000284009</v>
      </c>
      <c r="F21" s="32">
        <f>SUM(FSS!F26,'GSS-TOT'!F23)</f>
        <v>21023192.147616692</v>
      </c>
      <c r="G21" s="32">
        <f>SUM(FSS!G26,'GSS-TOT'!G23)</f>
        <v>20325277.922998838</v>
      </c>
      <c r="H21" s="32">
        <f>SUM(FSS!H26,'GSS-TOT'!H23)</f>
        <v>16032187.666999772</v>
      </c>
      <c r="I21" s="32">
        <f>SUM(FSS!I26,'GSS-TOT'!I23)</f>
        <v>12175050.428283986</v>
      </c>
      <c r="J21" s="32">
        <f>SUM(FSS!J26,'GSS-TOT'!J23)</f>
        <v>9733061.9683857597</v>
      </c>
      <c r="K21" s="32">
        <f>SUM(FSS!K26,'GSS-TOT'!K23)</f>
        <v>6227393.170264028</v>
      </c>
      <c r="L21" s="32"/>
      <c r="M21" s="32"/>
      <c r="N21" s="32"/>
      <c r="O21" s="32"/>
      <c r="P21" s="32"/>
      <c r="Q21" s="32"/>
      <c r="R21" s="199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</row>
    <row r="22" spans="1:40">
      <c r="A22" s="1" t="s">
        <v>455</v>
      </c>
      <c r="B22" s="20">
        <f t="shared" ref="B22:G22" si="7">B21/B20</f>
        <v>4.9890272641034574</v>
      </c>
      <c r="C22" s="20">
        <f t="shared" si="7"/>
        <v>4.9737463128211852</v>
      </c>
      <c r="D22" s="20">
        <f t="shared" si="7"/>
        <v>4.9845011975978188</v>
      </c>
      <c r="E22" s="20">
        <f t="shared" si="7"/>
        <v>4.8799589633010116</v>
      </c>
      <c r="F22" s="20">
        <f t="shared" si="7"/>
        <v>4.8354677495710821</v>
      </c>
      <c r="G22" s="20">
        <f t="shared" si="7"/>
        <v>4.8238489547162091</v>
      </c>
      <c r="H22" s="20">
        <f>H21/H20</f>
        <v>4.8238214517931217</v>
      </c>
      <c r="I22" s="20">
        <f>I21/I20</f>
        <v>4.8162991703673175</v>
      </c>
      <c r="J22" s="20">
        <f>J21/J20</f>
        <v>4.8138601335417333</v>
      </c>
      <c r="K22" s="20">
        <f>K21/K20</f>
        <v>4.8277921011733635</v>
      </c>
      <c r="L22" s="20"/>
      <c r="M22" s="20"/>
      <c r="N22" s="20"/>
      <c r="O22" s="20"/>
      <c r="P22" s="20"/>
      <c r="Q22" s="20"/>
      <c r="R22" s="182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10"/>
      <c r="AN22" s="10"/>
    </row>
    <row r="23" spans="1:40" s="105" customFormat="1">
      <c r="A23" s="105" t="s">
        <v>472</v>
      </c>
      <c r="B23" s="108">
        <f t="shared" ref="B23:D24" si="8">B17-B20</f>
        <v>0</v>
      </c>
      <c r="C23" s="108">
        <f t="shared" si="8"/>
        <v>5484</v>
      </c>
      <c r="D23" s="108">
        <f t="shared" si="8"/>
        <v>5484</v>
      </c>
      <c r="E23" s="108">
        <f t="shared" ref="E23:G24" si="9">E17-E20</f>
        <v>5484</v>
      </c>
      <c r="F23" s="108">
        <f t="shared" si="9"/>
        <v>-25624</v>
      </c>
      <c r="G23" s="108">
        <f t="shared" si="9"/>
        <v>-25624</v>
      </c>
      <c r="H23" s="108">
        <f t="shared" ref="H23:J24" si="10">H17-H20</f>
        <v>-25624</v>
      </c>
      <c r="I23" s="108">
        <f t="shared" si="10"/>
        <v>-25624</v>
      </c>
      <c r="J23" s="108">
        <f t="shared" si="10"/>
        <v>-25624</v>
      </c>
      <c r="K23" s="108">
        <f>K17-K20</f>
        <v>-25624</v>
      </c>
    </row>
    <row r="24" spans="1:40" s="112" customFormat="1">
      <c r="A24" s="112" t="s">
        <v>473</v>
      </c>
      <c r="B24" s="32">
        <f t="shared" si="8"/>
        <v>0</v>
      </c>
      <c r="C24" s="30">
        <f t="shared" si="8"/>
        <v>-245801.33382677659</v>
      </c>
      <c r="D24" s="30">
        <f t="shared" si="8"/>
        <v>-514128.7712841928</v>
      </c>
      <c r="E24" s="30">
        <f t="shared" si="9"/>
        <v>-611922.90967744589</v>
      </c>
      <c r="F24" s="30">
        <f t="shared" si="9"/>
        <v>-801398.93445582315</v>
      </c>
      <c r="G24" s="30">
        <f t="shared" si="9"/>
        <v>-768040.51198914647</v>
      </c>
      <c r="H24" s="30">
        <f t="shared" si="10"/>
        <v>-643019.04794944823</v>
      </c>
      <c r="I24" s="30">
        <f t="shared" si="10"/>
        <v>-576097.52469994687</v>
      </c>
      <c r="J24" s="30">
        <f t="shared" si="10"/>
        <v>-549022.40216020867</v>
      </c>
      <c r="K24" s="30">
        <f>K18-K21</f>
        <v>-440429.18166782521</v>
      </c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3"/>
    </row>
    <row r="40" spans="1:1">
      <c r="A40" s="3"/>
    </row>
    <row r="41" spans="1:1">
      <c r="A41" s="5"/>
    </row>
    <row r="42" spans="1:1">
      <c r="A42" s="2"/>
    </row>
  </sheetData>
  <phoneticPr fontId="10" type="noConversion"/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>
    <pageSetUpPr fitToPage="1"/>
  </sheetPr>
  <dimension ref="A1:DA182"/>
  <sheetViews>
    <sheetView tabSelected="1" zoomScale="50" workbookViewId="0">
      <pane xSplit="2" ySplit="1" topLeftCell="C77" activePane="bottomRight" state="frozen"/>
      <selection activeCell="I74" sqref="I74"/>
      <selection pane="topRight" activeCell="I74" sqref="I74"/>
      <selection pane="bottomLeft" activeCell="I74" sqref="I74"/>
      <selection pane="bottomRight" activeCell="C95" sqref="C95"/>
    </sheetView>
  </sheetViews>
  <sheetFormatPr defaultRowHeight="20.25"/>
  <cols>
    <col min="1" max="1" width="65.6640625" style="1" bestFit="1" customWidth="1"/>
    <col min="2" max="2" width="8.109375" style="1" bestFit="1" customWidth="1"/>
    <col min="3" max="3" width="17.88671875" style="24" bestFit="1" customWidth="1"/>
    <col min="4" max="5" width="17.109375" style="24" bestFit="1" customWidth="1"/>
    <col min="6" max="6" width="19.109375" style="10" bestFit="1" customWidth="1"/>
    <col min="7" max="7" width="17.109375" style="10" bestFit="1" customWidth="1"/>
    <col min="8" max="8" width="17" style="10" bestFit="1" customWidth="1"/>
    <col min="9" max="9" width="18" style="10" bestFit="1" customWidth="1"/>
    <col min="10" max="11" width="16.77734375" style="10" bestFit="1" customWidth="1"/>
    <col min="12" max="12" width="17" style="10" bestFit="1" customWidth="1"/>
    <col min="13" max="14" width="16.109375" style="10" bestFit="1" customWidth="1"/>
    <col min="15" max="15" width="18.33203125" style="10" bestFit="1" customWidth="1"/>
    <col min="16" max="16" width="17.6640625" style="1" bestFit="1" customWidth="1"/>
    <col min="17" max="17" width="8.109375" style="1" bestFit="1" customWidth="1"/>
    <col min="18" max="105" width="2.77734375" style="1" bestFit="1" customWidth="1"/>
    <col min="106" max="16384" width="8.88671875" style="1"/>
  </cols>
  <sheetData>
    <row r="1" spans="1:45">
      <c r="C1" s="14">
        <v>40360</v>
      </c>
      <c r="D1" s="14">
        <v>40391</v>
      </c>
      <c r="E1" s="14">
        <v>40422</v>
      </c>
      <c r="F1" s="14">
        <v>40452</v>
      </c>
      <c r="G1" s="14">
        <v>40483</v>
      </c>
      <c r="H1" s="14">
        <v>40513</v>
      </c>
      <c r="I1" s="14">
        <v>40544</v>
      </c>
      <c r="J1" s="14">
        <v>40575</v>
      </c>
      <c r="K1" s="14">
        <v>40603</v>
      </c>
      <c r="L1" s="14">
        <v>40634</v>
      </c>
      <c r="M1" s="14">
        <v>40664</v>
      </c>
      <c r="N1" s="14">
        <v>40695</v>
      </c>
      <c r="O1" s="11" t="s">
        <v>758</v>
      </c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11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11"/>
    </row>
    <row r="2" spans="1:45" s="31" customFormat="1">
      <c r="A2" s="31" t="s">
        <v>267</v>
      </c>
      <c r="B2" s="100" t="s">
        <v>47</v>
      </c>
      <c r="C2" s="195">
        <v>127627</v>
      </c>
      <c r="D2" s="195">
        <v>111717</v>
      </c>
      <c r="E2" s="418">
        <v>123510</v>
      </c>
      <c r="F2" s="418">
        <v>159557</v>
      </c>
      <c r="G2" s="28">
        <v>0</v>
      </c>
      <c r="H2" s="28"/>
      <c r="I2" s="195">
        <v>217000</v>
      </c>
      <c r="J2" s="195">
        <v>144119</v>
      </c>
      <c r="K2" s="28"/>
      <c r="L2" s="451">
        <v>135000</v>
      </c>
      <c r="M2" s="451">
        <v>155000</v>
      </c>
      <c r="N2" s="451">
        <v>169830</v>
      </c>
      <c r="O2" s="22">
        <f>SUM(C2:N2)</f>
        <v>1343360</v>
      </c>
      <c r="Q2" s="100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F2" s="100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</row>
    <row r="3" spans="1:45" s="99" customFormat="1">
      <c r="A3" s="31" t="s">
        <v>267</v>
      </c>
      <c r="B3" s="98" t="s">
        <v>48</v>
      </c>
      <c r="C3" s="189">
        <f>C4/C2</f>
        <v>4.88</v>
      </c>
      <c r="D3" s="189">
        <f>D4/D2</f>
        <v>4.95</v>
      </c>
      <c r="E3" s="189">
        <f>E4/E2</f>
        <v>3.71</v>
      </c>
      <c r="F3" s="189">
        <f>F4/F2</f>
        <v>3.9199999999999995</v>
      </c>
      <c r="G3" s="17"/>
      <c r="H3" s="17"/>
      <c r="I3" s="189">
        <f>I4/I2</f>
        <v>4.58</v>
      </c>
      <c r="J3" s="189">
        <f>J4/J2</f>
        <v>4.5299999999999994</v>
      </c>
      <c r="K3" s="17"/>
      <c r="L3" s="452">
        <f>L4/L2</f>
        <v>4.47</v>
      </c>
      <c r="M3" s="452">
        <f>M4/M2</f>
        <v>4.5699999999999994</v>
      </c>
      <c r="N3" s="452">
        <f>N4/N2</f>
        <v>4.490000000000002</v>
      </c>
      <c r="O3" s="16">
        <f>O4/O2</f>
        <v>4.4519415644354456</v>
      </c>
      <c r="Q3" s="98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F3" s="98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</row>
    <row r="4" spans="1:45">
      <c r="A4" s="31" t="s">
        <v>267</v>
      </c>
      <c r="B4" s="97" t="s">
        <v>49</v>
      </c>
      <c r="C4" s="361">
        <v>622819.76</v>
      </c>
      <c r="D4" s="361">
        <v>552999.15</v>
      </c>
      <c r="E4" s="361">
        <v>458222.1</v>
      </c>
      <c r="F4" s="361">
        <v>625463.43999999994</v>
      </c>
      <c r="G4" s="26"/>
      <c r="H4" s="26"/>
      <c r="I4" s="361">
        <v>993860</v>
      </c>
      <c r="J4" s="361">
        <v>652859.06999999995</v>
      </c>
      <c r="K4" s="26"/>
      <c r="L4" s="453">
        <v>603450</v>
      </c>
      <c r="M4" s="453">
        <v>708349.99999999988</v>
      </c>
      <c r="N4" s="453">
        <v>762536.7000000003</v>
      </c>
      <c r="O4" s="25">
        <f>SUM(C4:N4)</f>
        <v>5980560.2199999997</v>
      </c>
      <c r="Q4" s="97"/>
      <c r="R4" s="25"/>
      <c r="S4" s="25"/>
      <c r="T4" s="10"/>
      <c r="U4" s="10"/>
      <c r="V4" s="25"/>
      <c r="W4" s="25"/>
      <c r="X4" s="25"/>
      <c r="Y4" s="25"/>
      <c r="Z4" s="25"/>
      <c r="AA4" s="10"/>
      <c r="AB4" s="10"/>
      <c r="AC4" s="10"/>
      <c r="AD4" s="25"/>
      <c r="AF4" s="97"/>
      <c r="AG4" s="25"/>
      <c r="AH4" s="25"/>
      <c r="AI4" s="10"/>
      <c r="AJ4" s="10"/>
      <c r="AK4" s="25"/>
      <c r="AL4" s="25"/>
      <c r="AM4" s="25"/>
      <c r="AN4" s="25"/>
      <c r="AO4" s="25"/>
      <c r="AP4" s="10"/>
      <c r="AQ4" s="10"/>
      <c r="AR4" s="10"/>
      <c r="AS4" s="25"/>
    </row>
    <row r="5" spans="1:45" s="31" customFormat="1">
      <c r="A5" s="31" t="s">
        <v>268</v>
      </c>
      <c r="B5" s="100" t="s">
        <v>47</v>
      </c>
      <c r="C5" s="28"/>
      <c r="D5" s="28"/>
      <c r="E5" s="28"/>
      <c r="F5" s="28"/>
      <c r="G5" s="28"/>
      <c r="H5" s="195">
        <v>485000</v>
      </c>
      <c r="I5" s="195">
        <v>229446</v>
      </c>
      <c r="J5" s="195">
        <v>140000</v>
      </c>
      <c r="K5" s="28"/>
      <c r="L5" s="28"/>
      <c r="M5" s="28"/>
      <c r="N5" s="28"/>
      <c r="O5" s="22">
        <f>SUM(C5:N5)</f>
        <v>854446</v>
      </c>
      <c r="Q5" s="10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F5" s="100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</row>
    <row r="6" spans="1:45" s="99" customFormat="1">
      <c r="A6" s="31" t="s">
        <v>268</v>
      </c>
      <c r="B6" s="98" t="s">
        <v>48</v>
      </c>
      <c r="C6" s="17"/>
      <c r="D6" s="17"/>
      <c r="E6" s="17"/>
      <c r="F6" s="17"/>
      <c r="G6" s="17"/>
      <c r="H6" s="189">
        <f>H7/H5</f>
        <v>4.6378865979381443</v>
      </c>
      <c r="I6" s="189">
        <f>I7/I5</f>
        <v>4.6763667703947762</v>
      </c>
      <c r="J6" s="189">
        <f>J7/J5</f>
        <v>4.5585714285714287</v>
      </c>
      <c r="K6" s="17"/>
      <c r="L6" s="17"/>
      <c r="M6" s="17"/>
      <c r="N6" s="17"/>
      <c r="O6" s="16">
        <f>O7/O5</f>
        <v>4.6352240516077083</v>
      </c>
      <c r="P6" s="103"/>
      <c r="Q6" s="98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31"/>
      <c r="AF6" s="98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</row>
    <row r="7" spans="1:45" s="32" customFormat="1">
      <c r="A7" s="31" t="s">
        <v>268</v>
      </c>
      <c r="B7" s="104" t="s">
        <v>49</v>
      </c>
      <c r="C7" s="39"/>
      <c r="D7" s="39"/>
      <c r="E7" s="39"/>
      <c r="F7" s="39"/>
      <c r="G7" s="39"/>
      <c r="H7" s="190">
        <v>2249375</v>
      </c>
      <c r="I7" s="190">
        <v>1072973.6499999999</v>
      </c>
      <c r="J7" s="190">
        <v>638200</v>
      </c>
      <c r="K7" s="39"/>
      <c r="L7" s="39"/>
      <c r="M7" s="39"/>
      <c r="N7" s="39"/>
      <c r="O7" s="32">
        <f>SUM(C7:N7)</f>
        <v>3960548.65</v>
      </c>
      <c r="P7" s="6"/>
      <c r="Q7" s="104"/>
      <c r="AE7" s="6"/>
      <c r="AF7" s="104"/>
    </row>
    <row r="8" spans="1:45" s="22" customFormat="1">
      <c r="A8" s="31" t="s">
        <v>592</v>
      </c>
      <c r="B8" s="100" t="s">
        <v>47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2">
        <f>SUM(C8:N8)</f>
        <v>0</v>
      </c>
      <c r="P8" s="111"/>
      <c r="Q8" s="100"/>
      <c r="AE8" s="111"/>
      <c r="AF8" s="100"/>
    </row>
    <row r="9" spans="1:45" s="32" customFormat="1">
      <c r="A9" s="31" t="s">
        <v>592</v>
      </c>
      <c r="B9" s="98" t="s">
        <v>48</v>
      </c>
      <c r="C9" s="39"/>
      <c r="D9" s="17"/>
      <c r="E9" s="17"/>
      <c r="F9" s="39"/>
      <c r="G9" s="17"/>
      <c r="H9" s="17"/>
      <c r="I9" s="17"/>
      <c r="J9" s="17"/>
      <c r="K9" s="17"/>
      <c r="L9" s="39"/>
      <c r="M9" s="39"/>
      <c r="N9" s="39"/>
      <c r="O9" s="16" t="e">
        <f>O10/O8</f>
        <v>#DIV/0!</v>
      </c>
      <c r="P9" s="6"/>
      <c r="Q9" s="104"/>
      <c r="AE9" s="6"/>
      <c r="AF9" s="104"/>
    </row>
    <row r="10" spans="1:45" s="32" customFormat="1">
      <c r="A10" s="31" t="s">
        <v>592</v>
      </c>
      <c r="B10" s="97" t="s">
        <v>49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2">
        <f>SUM(C10:N10)</f>
        <v>0</v>
      </c>
      <c r="P10" s="6"/>
      <c r="Q10" s="104"/>
      <c r="AE10" s="6"/>
      <c r="AF10" s="104"/>
    </row>
    <row r="11" spans="1:45" s="105" customFormat="1">
      <c r="A11" s="105" t="s">
        <v>755</v>
      </c>
      <c r="B11" s="106" t="s">
        <v>47</v>
      </c>
      <c r="C11" s="107"/>
      <c r="D11" s="107"/>
      <c r="E11" s="107"/>
      <c r="F11" s="107"/>
      <c r="G11" s="107"/>
      <c r="H11" s="289"/>
      <c r="I11" s="289"/>
      <c r="J11" s="289"/>
      <c r="K11" s="107"/>
      <c r="L11" s="107"/>
      <c r="M11" s="107"/>
      <c r="N11" s="107"/>
      <c r="O11" s="30">
        <f>SUM(C11:N11)</f>
        <v>0</v>
      </c>
      <c r="Q11" s="106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F11" s="106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</row>
    <row r="12" spans="1:45">
      <c r="A12" s="105" t="s">
        <v>755</v>
      </c>
      <c r="B12" s="98" t="s">
        <v>48</v>
      </c>
      <c r="C12" s="26"/>
      <c r="D12" s="17"/>
      <c r="E12" s="17"/>
      <c r="F12" s="17"/>
      <c r="G12" s="17"/>
      <c r="H12" s="289"/>
      <c r="I12" s="289"/>
      <c r="J12" s="289"/>
      <c r="K12" s="21"/>
      <c r="L12" s="21"/>
      <c r="M12" s="24"/>
      <c r="N12" s="24"/>
      <c r="O12" s="16" t="e">
        <f>O13/O11</f>
        <v>#DIV/0!</v>
      </c>
      <c r="P12" s="31"/>
      <c r="Q12" s="97"/>
      <c r="R12" s="25"/>
      <c r="S12" s="10"/>
      <c r="T12" s="10"/>
      <c r="U12" s="10"/>
      <c r="V12" s="25"/>
      <c r="W12" s="25"/>
      <c r="X12" s="25"/>
      <c r="Y12" s="25"/>
      <c r="Z12" s="25"/>
      <c r="AA12" s="10"/>
      <c r="AB12" s="10"/>
      <c r="AC12" s="10"/>
      <c r="AD12" s="25"/>
      <c r="AE12" s="31"/>
      <c r="AF12" s="97"/>
      <c r="AG12" s="25"/>
      <c r="AH12" s="10"/>
      <c r="AI12" s="10"/>
      <c r="AJ12" s="10"/>
      <c r="AK12" s="25"/>
      <c r="AL12" s="25"/>
      <c r="AM12" s="25"/>
      <c r="AN12" s="25"/>
      <c r="AO12" s="25"/>
      <c r="AP12" s="10"/>
      <c r="AQ12" s="10"/>
      <c r="AR12" s="10"/>
      <c r="AS12" s="25"/>
    </row>
    <row r="13" spans="1:45" s="110" customFormat="1">
      <c r="A13" s="105" t="s">
        <v>755</v>
      </c>
      <c r="B13" s="109" t="s">
        <v>49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30">
        <f>SUM(C13:N13)</f>
        <v>0</v>
      </c>
      <c r="Q13" s="109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F13" s="109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</row>
    <row r="14" spans="1:45" s="31" customFormat="1">
      <c r="A14" s="111" t="s">
        <v>279</v>
      </c>
      <c r="B14" s="100" t="s">
        <v>47</v>
      </c>
      <c r="C14" s="195">
        <v>12152</v>
      </c>
      <c r="D14" s="195">
        <v>12152</v>
      </c>
      <c r="E14" s="195">
        <v>11760</v>
      </c>
      <c r="F14" s="195">
        <v>12152</v>
      </c>
      <c r="G14" s="195">
        <v>11760</v>
      </c>
      <c r="H14" s="195">
        <v>12152</v>
      </c>
      <c r="I14" s="195">
        <v>11368</v>
      </c>
      <c r="J14" s="195">
        <v>10976</v>
      </c>
      <c r="K14" s="195">
        <v>12152</v>
      </c>
      <c r="L14" s="451">
        <v>11640</v>
      </c>
      <c r="M14" s="451">
        <v>12028</v>
      </c>
      <c r="N14" s="451">
        <v>11640</v>
      </c>
      <c r="O14" s="22">
        <f>SUM(C14:N14)</f>
        <v>141932</v>
      </c>
      <c r="Q14" s="10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F14" s="100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</row>
    <row r="15" spans="1:45" s="99" customFormat="1">
      <c r="A15" s="7" t="s">
        <v>279</v>
      </c>
      <c r="B15" s="98" t="s">
        <v>48</v>
      </c>
      <c r="C15" s="400">
        <v>4.72</v>
      </c>
      <c r="D15" s="189">
        <v>4.76</v>
      </c>
      <c r="E15" s="189">
        <v>3.61</v>
      </c>
      <c r="F15" s="189">
        <v>3.81</v>
      </c>
      <c r="G15" s="189">
        <v>3.31</v>
      </c>
      <c r="H15" s="189">
        <v>4.26</v>
      </c>
      <c r="I15" s="189">
        <v>4.2300000000000004</v>
      </c>
      <c r="J15" s="189">
        <v>4.29</v>
      </c>
      <c r="K15" s="189">
        <v>3.76</v>
      </c>
      <c r="L15" s="452">
        <v>4.22</v>
      </c>
      <c r="M15" s="452">
        <v>4.3600000000000003</v>
      </c>
      <c r="N15" s="452">
        <v>4.32</v>
      </c>
      <c r="O15" s="16">
        <f>O16/O14</f>
        <v>4.1383175041569205</v>
      </c>
      <c r="Q15" s="98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F15" s="98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</row>
    <row r="16" spans="1:45" s="112" customFormat="1">
      <c r="A16" s="111" t="s">
        <v>279</v>
      </c>
      <c r="B16" s="104" t="s">
        <v>49</v>
      </c>
      <c r="C16" s="190">
        <f t="shared" ref="C16:N16" si="0">C14*C15</f>
        <v>57357.439999999995</v>
      </c>
      <c r="D16" s="190">
        <f t="shared" si="0"/>
        <v>57843.519999999997</v>
      </c>
      <c r="E16" s="190">
        <f t="shared" si="0"/>
        <v>42453.599999999999</v>
      </c>
      <c r="F16" s="190">
        <f t="shared" si="0"/>
        <v>46299.12</v>
      </c>
      <c r="G16" s="190">
        <f t="shared" si="0"/>
        <v>38925.599999999999</v>
      </c>
      <c r="H16" s="190">
        <f t="shared" si="0"/>
        <v>51767.519999999997</v>
      </c>
      <c r="I16" s="190">
        <f t="shared" si="0"/>
        <v>48086.640000000007</v>
      </c>
      <c r="J16" s="190">
        <f t="shared" si="0"/>
        <v>47087.040000000001</v>
      </c>
      <c r="K16" s="190">
        <f t="shared" si="0"/>
        <v>45691.519999999997</v>
      </c>
      <c r="L16" s="190">
        <f t="shared" si="0"/>
        <v>49120.799999999996</v>
      </c>
      <c r="M16" s="456">
        <f t="shared" si="0"/>
        <v>52442.080000000002</v>
      </c>
      <c r="N16" s="456">
        <f t="shared" si="0"/>
        <v>50284.800000000003</v>
      </c>
      <c r="O16" s="25">
        <f>SUM(C16:N16)</f>
        <v>587359.68000000005</v>
      </c>
      <c r="Q16" s="104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F16" s="104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</row>
    <row r="17" spans="1:45" s="31" customFormat="1">
      <c r="A17" s="111" t="s">
        <v>280</v>
      </c>
      <c r="B17" s="100" t="s">
        <v>47</v>
      </c>
      <c r="C17" s="195">
        <v>248</v>
      </c>
      <c r="D17" s="195">
        <v>248</v>
      </c>
      <c r="E17" s="195">
        <v>240</v>
      </c>
      <c r="F17" s="195">
        <v>248</v>
      </c>
      <c r="G17" s="195">
        <v>240</v>
      </c>
      <c r="H17" s="195">
        <v>248</v>
      </c>
      <c r="I17" s="195">
        <v>232</v>
      </c>
      <c r="J17" s="195">
        <v>224</v>
      </c>
      <c r="K17" s="195">
        <v>248</v>
      </c>
      <c r="L17" s="451">
        <v>240</v>
      </c>
      <c r="M17" s="451">
        <v>248</v>
      </c>
      <c r="N17" s="451">
        <v>240</v>
      </c>
      <c r="O17" s="22">
        <f>SUM(C17:N17)</f>
        <v>2904</v>
      </c>
      <c r="Q17" s="100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F17" s="100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</row>
    <row r="18" spans="1:45" s="99" customFormat="1">
      <c r="A18" s="7" t="s">
        <v>280</v>
      </c>
      <c r="B18" s="98" t="s">
        <v>48</v>
      </c>
      <c r="C18" s="189">
        <v>4.72</v>
      </c>
      <c r="D18" s="189">
        <v>4.79</v>
      </c>
      <c r="E18" s="189">
        <v>3.64</v>
      </c>
      <c r="F18" s="189">
        <v>3.83</v>
      </c>
      <c r="G18" s="189">
        <v>3.36</v>
      </c>
      <c r="H18" s="189">
        <v>4.3099999999999996</v>
      </c>
      <c r="I18" s="189">
        <v>4.28</v>
      </c>
      <c r="J18" s="189">
        <v>4.37</v>
      </c>
      <c r="K18" s="189">
        <v>3.81</v>
      </c>
      <c r="L18" s="452">
        <v>4.26</v>
      </c>
      <c r="M18" s="452">
        <v>4.4000000000000004</v>
      </c>
      <c r="N18" s="452">
        <v>4.3499999999999996</v>
      </c>
      <c r="O18" s="16">
        <f>O19/O17</f>
        <v>4.1775206611570246</v>
      </c>
      <c r="Q18" s="98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F18" s="98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</row>
    <row r="19" spans="1:45" s="112" customFormat="1">
      <c r="A19" s="111" t="s">
        <v>280</v>
      </c>
      <c r="B19" s="104" t="s">
        <v>49</v>
      </c>
      <c r="C19" s="190">
        <f t="shared" ref="C19:N19" si="1">C17*C18</f>
        <v>1170.56</v>
      </c>
      <c r="D19" s="190">
        <f t="shared" si="1"/>
        <v>1187.92</v>
      </c>
      <c r="E19" s="190">
        <f t="shared" si="1"/>
        <v>873.6</v>
      </c>
      <c r="F19" s="190">
        <f t="shared" si="1"/>
        <v>949.84</v>
      </c>
      <c r="G19" s="190">
        <f t="shared" si="1"/>
        <v>806.4</v>
      </c>
      <c r="H19" s="190">
        <f t="shared" si="1"/>
        <v>1068.8799999999999</v>
      </c>
      <c r="I19" s="190">
        <f t="shared" si="1"/>
        <v>992.96</v>
      </c>
      <c r="J19" s="190">
        <f t="shared" si="1"/>
        <v>978.88</v>
      </c>
      <c r="K19" s="190">
        <f t="shared" si="1"/>
        <v>944.88</v>
      </c>
      <c r="L19" s="190">
        <f t="shared" si="1"/>
        <v>1022.4</v>
      </c>
      <c r="M19" s="190">
        <f t="shared" si="1"/>
        <v>1091.2</v>
      </c>
      <c r="N19" s="190">
        <f t="shared" si="1"/>
        <v>1044</v>
      </c>
      <c r="O19" s="25">
        <f>SUM(C19:N19)</f>
        <v>12131.52</v>
      </c>
      <c r="Q19" s="104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F19" s="104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</row>
    <row r="20" spans="1:45">
      <c r="A20" s="33" t="s">
        <v>191</v>
      </c>
      <c r="B20" s="113" t="s">
        <v>47</v>
      </c>
      <c r="C20" s="131">
        <f t="shared" ref="C20:H20" si="2">SUM(C2,C5,C8,C11,C14,C17)</f>
        <v>140027</v>
      </c>
      <c r="D20" s="131">
        <f t="shared" si="2"/>
        <v>124117</v>
      </c>
      <c r="E20" s="131">
        <f t="shared" si="2"/>
        <v>135510</v>
      </c>
      <c r="F20" s="131">
        <f t="shared" si="2"/>
        <v>171957</v>
      </c>
      <c r="G20" s="131">
        <f t="shared" si="2"/>
        <v>12000</v>
      </c>
      <c r="H20" s="131">
        <f t="shared" si="2"/>
        <v>497400</v>
      </c>
      <c r="I20" s="131">
        <f t="shared" ref="I20:N20" si="3">SUM(I2,I5,I8,I11,I14,I17)</f>
        <v>458046</v>
      </c>
      <c r="J20" s="131">
        <f t="shared" si="3"/>
        <v>295319</v>
      </c>
      <c r="K20" s="131">
        <f t="shared" si="3"/>
        <v>12400</v>
      </c>
      <c r="L20" s="131">
        <f t="shared" si="3"/>
        <v>146880</v>
      </c>
      <c r="M20" s="131">
        <f t="shared" si="3"/>
        <v>167276</v>
      </c>
      <c r="N20" s="131">
        <f t="shared" si="3"/>
        <v>181710</v>
      </c>
      <c r="O20" s="59">
        <f>SUM(C20:N20)</f>
        <v>2342642</v>
      </c>
      <c r="P20" s="33"/>
      <c r="Q20" s="113"/>
      <c r="R20" s="28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33"/>
      <c r="AF20" s="113"/>
      <c r="AG20" s="28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</row>
    <row r="21" spans="1:45">
      <c r="A21" s="33" t="s">
        <v>191</v>
      </c>
      <c r="B21" s="113" t="s">
        <v>49</v>
      </c>
      <c r="C21" s="201">
        <f t="shared" ref="C21:H21" si="4">SUM(C4,C7,C10,C13,C16,C19)</f>
        <v>681347.76</v>
      </c>
      <c r="D21" s="201">
        <f t="shared" si="4"/>
        <v>612030.59000000008</v>
      </c>
      <c r="E21" s="201">
        <f t="shared" si="4"/>
        <v>501549.29999999993</v>
      </c>
      <c r="F21" s="201">
        <f t="shared" si="4"/>
        <v>672712.39999999991</v>
      </c>
      <c r="G21" s="201">
        <f t="shared" si="4"/>
        <v>39732</v>
      </c>
      <c r="H21" s="201">
        <f t="shared" si="4"/>
        <v>2302211.4</v>
      </c>
      <c r="I21" s="201">
        <f t="shared" ref="I21:N21" si="5">SUM(I4,I7,I10,I13,I16,I19)</f>
        <v>2115913.25</v>
      </c>
      <c r="J21" s="201">
        <f t="shared" si="5"/>
        <v>1339124.9899999998</v>
      </c>
      <c r="K21" s="201">
        <f t="shared" si="5"/>
        <v>46636.399999999994</v>
      </c>
      <c r="L21" s="201">
        <f t="shared" si="5"/>
        <v>653593.20000000007</v>
      </c>
      <c r="M21" s="201">
        <f t="shared" si="5"/>
        <v>761883.2799999998</v>
      </c>
      <c r="N21" s="201">
        <f t="shared" si="5"/>
        <v>813865.50000000035</v>
      </c>
      <c r="O21" s="205">
        <f>SUM(C21:N21)</f>
        <v>10540600.069999998</v>
      </c>
      <c r="P21" s="33"/>
      <c r="Q21" s="113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5"/>
      <c r="AE21" s="33"/>
      <c r="AF21" s="113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5"/>
    </row>
    <row r="22" spans="1:45" s="99" customFormat="1">
      <c r="A22" s="33" t="s">
        <v>191</v>
      </c>
      <c r="B22" s="114" t="s">
        <v>48</v>
      </c>
      <c r="C22" s="197">
        <f t="shared" ref="C22:L22" si="6">+C21/C20</f>
        <v>4.8658313039628069</v>
      </c>
      <c r="D22" s="197">
        <f t="shared" si="6"/>
        <v>4.9310778539603763</v>
      </c>
      <c r="E22" s="197">
        <f t="shared" si="6"/>
        <v>3.7011976975868937</v>
      </c>
      <c r="F22" s="197">
        <f t="shared" si="6"/>
        <v>3.9120966288083645</v>
      </c>
      <c r="G22" s="197">
        <f t="shared" si="6"/>
        <v>3.3109999999999999</v>
      </c>
      <c r="H22" s="197">
        <f t="shared" si="6"/>
        <v>4.6284909529553682</v>
      </c>
      <c r="I22" s="197">
        <f t="shared" si="6"/>
        <v>4.6194339651476053</v>
      </c>
      <c r="J22" s="197">
        <f t="shared" si="6"/>
        <v>4.5345033336832365</v>
      </c>
      <c r="K22" s="197">
        <f t="shared" si="6"/>
        <v>3.7609999999999997</v>
      </c>
      <c r="L22" s="197">
        <f t="shared" si="6"/>
        <v>4.449844771241831</v>
      </c>
      <c r="M22" s="197">
        <f t="shared" ref="M22:N22" si="7">+M21/M20</f>
        <v>4.5546478873239424</v>
      </c>
      <c r="N22" s="197">
        <f t="shared" si="7"/>
        <v>4.4789252105002495</v>
      </c>
      <c r="O22" s="34">
        <f>+O21/O20</f>
        <v>4.4994497964264273</v>
      </c>
      <c r="P22" s="115"/>
      <c r="Q22" s="114"/>
      <c r="R22" s="17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15"/>
      <c r="AF22" s="114"/>
      <c r="AG22" s="17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</row>
    <row r="23" spans="1:45">
      <c r="A23" s="33" t="s">
        <v>354</v>
      </c>
      <c r="B23" s="113" t="s">
        <v>47</v>
      </c>
      <c r="C23" s="131"/>
      <c r="D23" s="131"/>
      <c r="E23" s="131"/>
      <c r="F23" s="131"/>
      <c r="G23" s="131"/>
      <c r="H23" s="131">
        <f t="shared" ref="H23:M23" si="8">H5</f>
        <v>485000</v>
      </c>
      <c r="I23" s="131">
        <f t="shared" si="8"/>
        <v>229446</v>
      </c>
      <c r="J23" s="131">
        <f t="shared" si="8"/>
        <v>140000</v>
      </c>
      <c r="K23" s="131">
        <f t="shared" si="8"/>
        <v>0</v>
      </c>
      <c r="L23" s="131">
        <f t="shared" si="8"/>
        <v>0</v>
      </c>
      <c r="M23" s="131">
        <f t="shared" si="8"/>
        <v>0</v>
      </c>
      <c r="N23" s="131">
        <f t="shared" ref="N23" si="9">N5</f>
        <v>0</v>
      </c>
      <c r="O23" s="59">
        <f>SUM(C23:N23)</f>
        <v>854446</v>
      </c>
      <c r="R23" s="3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22"/>
      <c r="AG23" s="32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22"/>
    </row>
    <row r="24" spans="1:45" s="112" customFormat="1">
      <c r="A24" s="123" t="s">
        <v>354</v>
      </c>
      <c r="B24" s="284" t="s">
        <v>49</v>
      </c>
      <c r="C24" s="199"/>
      <c r="D24" s="199"/>
      <c r="E24" s="199"/>
      <c r="F24" s="199"/>
      <c r="G24" s="199"/>
      <c r="H24" s="199">
        <f t="shared" ref="H24:M24" si="10">H7</f>
        <v>2249375</v>
      </c>
      <c r="I24" s="199">
        <f t="shared" si="10"/>
        <v>1072973.6499999999</v>
      </c>
      <c r="J24" s="199">
        <f t="shared" si="10"/>
        <v>638200</v>
      </c>
      <c r="K24" s="199">
        <f t="shared" si="10"/>
        <v>0</v>
      </c>
      <c r="L24" s="199">
        <f t="shared" si="10"/>
        <v>0</v>
      </c>
      <c r="M24" s="199">
        <f t="shared" si="10"/>
        <v>0</v>
      </c>
      <c r="N24" s="199">
        <f t="shared" ref="N24" si="11">N7</f>
        <v>0</v>
      </c>
      <c r="O24" s="43">
        <f>SUM(C24:N24)</f>
        <v>3960548.65</v>
      </c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s="99" customFormat="1">
      <c r="A25" s="115" t="s">
        <v>354</v>
      </c>
      <c r="B25" s="114" t="s">
        <v>48</v>
      </c>
      <c r="C25" s="197"/>
      <c r="D25" s="197"/>
      <c r="E25" s="197"/>
      <c r="F25" s="197"/>
      <c r="G25" s="197"/>
      <c r="H25" s="197">
        <f>H24/H23</f>
        <v>4.6378865979381443</v>
      </c>
      <c r="I25" s="197">
        <f>I24/I23</f>
        <v>4.6763667703947762</v>
      </c>
      <c r="J25" s="197">
        <f>J24/J23</f>
        <v>4.5585714285714287</v>
      </c>
      <c r="K25" s="197"/>
      <c r="L25" s="197"/>
      <c r="M25" s="17"/>
      <c r="N25" s="17"/>
      <c r="O25" s="34">
        <f>O24/O23</f>
        <v>4.6352240516077083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</row>
    <row r="26" spans="1:45">
      <c r="A26" s="33" t="s">
        <v>597</v>
      </c>
      <c r="B26" s="114" t="s">
        <v>48</v>
      </c>
      <c r="C26" s="131"/>
      <c r="D26" s="131"/>
      <c r="E26" s="207"/>
      <c r="F26" s="207"/>
      <c r="G26" s="207"/>
      <c r="H26" s="207">
        <f>H25-H3</f>
        <v>4.6378865979381443</v>
      </c>
      <c r="I26" s="207">
        <f>I25-I3</f>
        <v>9.6366770394776147E-2</v>
      </c>
      <c r="J26" s="207">
        <f>J25-J3</f>
        <v>2.8571428571429358E-2</v>
      </c>
      <c r="K26" s="207"/>
      <c r="L26" s="207"/>
      <c r="M26" s="24"/>
      <c r="N26" s="24"/>
      <c r="O26" s="207">
        <f>O25-O3</f>
        <v>0.1832824871722627</v>
      </c>
      <c r="R26" s="32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22"/>
      <c r="AG26" s="32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22"/>
    </row>
    <row r="27" spans="1:45">
      <c r="A27" s="33" t="s">
        <v>597</v>
      </c>
      <c r="B27" s="113" t="s">
        <v>49</v>
      </c>
      <c r="C27" s="131"/>
      <c r="D27" s="131"/>
      <c r="E27" s="192"/>
      <c r="F27" s="192"/>
      <c r="G27" s="192"/>
      <c r="H27" s="192">
        <f>H26*H23</f>
        <v>2249375</v>
      </c>
      <c r="I27" s="192">
        <f>I26*I23</f>
        <v>22110.969999999808</v>
      </c>
      <c r="J27" s="192">
        <f>J26*J23</f>
        <v>4000.00000000011</v>
      </c>
      <c r="K27" s="192"/>
      <c r="L27" s="192"/>
      <c r="M27" s="24"/>
      <c r="N27" s="24"/>
      <c r="O27" s="169">
        <f>SUM(C27:N27)</f>
        <v>2275485.9699999997</v>
      </c>
      <c r="R27" s="3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22"/>
      <c r="AG27" s="32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22"/>
    </row>
    <row r="28" spans="1:45" s="103" customFormat="1">
      <c r="A28" s="204" t="s">
        <v>355</v>
      </c>
      <c r="C28" s="140"/>
      <c r="D28" s="140"/>
      <c r="E28" s="140"/>
      <c r="F28" s="140"/>
      <c r="G28" s="140"/>
      <c r="H28" s="140">
        <f>H23/H20</f>
        <v>0.97507036590269403</v>
      </c>
      <c r="I28" s="140">
        <f>I23/I20</f>
        <v>0.50092348803395292</v>
      </c>
      <c r="J28" s="140">
        <f>J23/J20</f>
        <v>0.47406363965745518</v>
      </c>
      <c r="K28" s="140"/>
      <c r="L28" s="140"/>
      <c r="M28" s="128"/>
      <c r="N28" s="128"/>
      <c r="O28" s="140">
        <f>O23/O20</f>
        <v>0.36473605442060714</v>
      </c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</row>
    <row r="29" spans="1:45">
      <c r="C29" s="17"/>
      <c r="D29" s="17"/>
      <c r="E29" s="39"/>
      <c r="F29" s="17"/>
      <c r="G29" s="17"/>
      <c r="H29" s="17"/>
      <c r="I29" s="17"/>
      <c r="J29" s="17"/>
      <c r="K29" s="24"/>
      <c r="L29" s="24"/>
      <c r="M29" s="24"/>
      <c r="N29" s="24"/>
      <c r="O29" s="22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22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22"/>
    </row>
    <row r="30" spans="1:45" s="31" customFormat="1">
      <c r="A30" s="208" t="s">
        <v>874</v>
      </c>
      <c r="B30" s="22" t="s">
        <v>47</v>
      </c>
      <c r="C30" s="195">
        <f>226765+437410+(347200-31000)</f>
        <v>980375</v>
      </c>
      <c r="D30" s="195">
        <f>226920+437658+(347200-31000)</f>
        <v>980778</v>
      </c>
      <c r="E30" s="195">
        <f>428658+(225000-105000)</f>
        <v>548658</v>
      </c>
      <c r="F30" s="195">
        <f>437658+(120900-31000)</f>
        <v>527558</v>
      </c>
      <c r="G30" s="195">
        <v>286770</v>
      </c>
      <c r="H30" s="195">
        <f>265329+155000</f>
        <v>420329</v>
      </c>
      <c r="I30" s="195">
        <f>96844+265329+155000</f>
        <v>517173</v>
      </c>
      <c r="J30" s="195">
        <f>239652+140000</f>
        <v>379652</v>
      </c>
      <c r="K30" s="195">
        <v>296329</v>
      </c>
      <c r="L30" s="454">
        <f>421350+261000</f>
        <v>682350</v>
      </c>
      <c r="M30" s="451">
        <f>435395+(347200-77500)</f>
        <v>705095</v>
      </c>
      <c r="N30" s="451">
        <f>421350+(348000-75000)</f>
        <v>694350</v>
      </c>
      <c r="O30" s="22">
        <f>SUM(C30:N30)</f>
        <v>7019417</v>
      </c>
      <c r="P30" s="111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111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</row>
    <row r="31" spans="1:45" s="99" customFormat="1">
      <c r="A31" s="208" t="s">
        <v>269</v>
      </c>
      <c r="B31" s="16" t="s">
        <v>48</v>
      </c>
      <c r="C31" s="189">
        <f t="shared" ref="C31:H31" si="12">C32/C30</f>
        <v>4.5416584980237156</v>
      </c>
      <c r="D31" s="189">
        <f t="shared" si="12"/>
        <v>4.6217058600417218</v>
      </c>
      <c r="E31" s="189">
        <f t="shared" si="12"/>
        <v>3.4838210688625701</v>
      </c>
      <c r="F31" s="189">
        <f t="shared" si="12"/>
        <v>3.7045052297567285</v>
      </c>
      <c r="G31" s="189">
        <f t="shared" si="12"/>
        <v>3.2349999999999999</v>
      </c>
      <c r="H31" s="189">
        <f t="shared" si="12"/>
        <v>4.0840906409027209</v>
      </c>
      <c r="I31" s="189">
        <f t="shared" ref="I31:O31" si="13">I32/I30</f>
        <v>4.0795405502607442</v>
      </c>
      <c r="J31" s="189">
        <f t="shared" si="13"/>
        <v>4.1340906409027207</v>
      </c>
      <c r="K31" s="189">
        <f t="shared" si="13"/>
        <v>3.7250000000000005</v>
      </c>
      <c r="L31" s="452">
        <f t="shared" si="13"/>
        <v>4.0492119147065289</v>
      </c>
      <c r="M31" s="452">
        <f t="shared" si="13"/>
        <v>4.1592119147065292</v>
      </c>
      <c r="N31" s="452">
        <f t="shared" si="13"/>
        <v>4.1254234175847913</v>
      </c>
      <c r="O31" s="16">
        <f t="shared" si="13"/>
        <v>4.1084327644304359</v>
      </c>
      <c r="P31" s="7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7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</row>
    <row r="32" spans="1:45" s="112" customFormat="1">
      <c r="A32" s="363" t="s">
        <v>269</v>
      </c>
      <c r="B32" s="32" t="s">
        <v>49</v>
      </c>
      <c r="C32" s="398">
        <f>(226765*4.66)+(437410*4.655)+((347200-31000)*4.3)</f>
        <v>4452528.45</v>
      </c>
      <c r="D32" s="398">
        <f>(226920*4.74)+(437658*4.735)+((347200-31000)*4.38)</f>
        <v>4532867.43</v>
      </c>
      <c r="E32" s="190">
        <f>(423540*3.595)+((225000-105000)*(3.59-0.35))</f>
        <v>1911426.3</v>
      </c>
      <c r="F32" s="190">
        <f>(437658*3.765)+((120900-31000)*(3.76-0.35))</f>
        <v>1954341.37</v>
      </c>
      <c r="G32" s="190">
        <f>(286770*3.235)</f>
        <v>927700.95</v>
      </c>
      <c r="H32" s="190">
        <f>(265329*4.215)+(155000*(4.21-0.35))</f>
        <v>1716661.7349999999</v>
      </c>
      <c r="I32" s="190">
        <f>(96844*4.19)+(265329*4.185)+(155000*3.83)</f>
        <v>2109828.2250000001</v>
      </c>
      <c r="J32" s="190">
        <f>(239652*4.265)+(140000*3.91)</f>
        <v>1569515.7799999998</v>
      </c>
      <c r="K32" s="190">
        <v>1103825.5250000001</v>
      </c>
      <c r="L32" s="455">
        <f>1763349.75+999630</f>
        <v>2762979.75</v>
      </c>
      <c r="M32" s="451">
        <f>(435395*4.295)+((347200-77500)*(4.29-0.35))</f>
        <v>2932639.5249999999</v>
      </c>
      <c r="N32" s="451">
        <f>(421350*4.265)+((348000-75000)*(4.26-0.35))</f>
        <v>2864487.75</v>
      </c>
      <c r="O32" s="32">
        <f>SUM(C32:N32)</f>
        <v>28838802.789999999</v>
      </c>
      <c r="P32" s="6"/>
      <c r="Q32" s="32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32"/>
      <c r="AE32" s="6"/>
      <c r="AF32" s="32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32"/>
    </row>
    <row r="33" spans="1:45" s="31" customFormat="1">
      <c r="A33" s="208" t="s">
        <v>270</v>
      </c>
      <c r="B33" s="22" t="s">
        <v>47</v>
      </c>
      <c r="C33" s="28"/>
      <c r="D33" s="28"/>
      <c r="E33" s="28"/>
      <c r="F33" s="195">
        <v>26145</v>
      </c>
      <c r="G33" s="195">
        <v>469107</v>
      </c>
      <c r="H33" s="195">
        <v>663131</v>
      </c>
      <c r="I33" s="195">
        <v>573660</v>
      </c>
      <c r="J33" s="195">
        <v>221475</v>
      </c>
      <c r="K33" s="195">
        <v>114720</v>
      </c>
      <c r="L33" s="451">
        <v>122225</v>
      </c>
      <c r="M33" s="451">
        <v>20804</v>
      </c>
      <c r="N33" s="28"/>
      <c r="O33" s="22">
        <f>SUM(C33:N33)</f>
        <v>2211267</v>
      </c>
      <c r="P33" s="111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111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</row>
    <row r="34" spans="1:45" s="99" customFormat="1">
      <c r="A34" s="208" t="s">
        <v>270</v>
      </c>
      <c r="B34" s="16" t="s">
        <v>48</v>
      </c>
      <c r="C34" s="17"/>
      <c r="D34" s="17"/>
      <c r="E34" s="17"/>
      <c r="F34" s="189">
        <f t="shared" ref="F34:K34" si="14">F35/F33</f>
        <v>3.347005928475808</v>
      </c>
      <c r="G34" s="189">
        <f t="shared" si="14"/>
        <v>3.7262906854172146</v>
      </c>
      <c r="H34" s="189">
        <f t="shared" si="14"/>
        <v>4.2638258478646014</v>
      </c>
      <c r="I34" s="189">
        <f t="shared" si="14"/>
        <v>4.4704251146359884</v>
      </c>
      <c r="J34" s="189">
        <f t="shared" si="14"/>
        <v>4.3227157995718404</v>
      </c>
      <c r="K34" s="189">
        <f t="shared" si="14"/>
        <v>3.9692454645084343</v>
      </c>
      <c r="L34" s="452">
        <f>L35/L33</f>
        <v>4.1977668919304012</v>
      </c>
      <c r="M34" s="452">
        <f>M35/M33</f>
        <v>4.6424059907388324</v>
      </c>
      <c r="N34" s="17"/>
      <c r="O34" s="16">
        <f>O35/O33</f>
        <v>4.1830740829318671</v>
      </c>
      <c r="P34" s="7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7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</row>
    <row r="35" spans="1:45" s="112" customFormat="1">
      <c r="A35" s="208" t="s">
        <v>270</v>
      </c>
      <c r="B35" s="32" t="s">
        <v>49</v>
      </c>
      <c r="C35" s="39"/>
      <c r="D35" s="39"/>
      <c r="E35" s="39"/>
      <c r="F35" s="190">
        <v>87507.47</v>
      </c>
      <c r="G35" s="190">
        <v>1748029.0445640134</v>
      </c>
      <c r="H35" s="190">
        <v>2827475.0983203012</v>
      </c>
      <c r="I35" s="190">
        <v>2564504.0712620812</v>
      </c>
      <c r="J35" s="190">
        <v>957373.48171017331</v>
      </c>
      <c r="K35" s="190">
        <v>455351.83968840761</v>
      </c>
      <c r="L35" s="456">
        <v>513072.05836619326</v>
      </c>
      <c r="M35" s="456">
        <v>96580.614231330663</v>
      </c>
      <c r="N35" s="39"/>
      <c r="O35" s="32">
        <f>SUM(C35:N35)</f>
        <v>9249893.678142501</v>
      </c>
      <c r="P35" s="6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6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s="31" customFormat="1">
      <c r="A36" s="208" t="s">
        <v>875</v>
      </c>
      <c r="B36" s="22" t="s">
        <v>47</v>
      </c>
      <c r="C36" s="195">
        <v>31000</v>
      </c>
      <c r="D36" s="195">
        <v>31000</v>
      </c>
      <c r="E36" s="195">
        <f>30000+75000</f>
        <v>105000</v>
      </c>
      <c r="F36" s="195">
        <v>31000</v>
      </c>
      <c r="G36" s="195">
        <f>135000+(75000+75000+75000+75000)</f>
        <v>435000</v>
      </c>
      <c r="H36" s="195">
        <f>170500+(77500+77500+77500+77500)</f>
        <v>480500</v>
      </c>
      <c r="I36" s="288">
        <f>170500+(77500+77500+77500+77500)</f>
        <v>480500</v>
      </c>
      <c r="J36" s="288">
        <f>154000+(70000+70000+70000+70000)</f>
        <v>434000</v>
      </c>
      <c r="K36" s="288">
        <f>139500+(77500+77500+77500+77500)</f>
        <v>449500</v>
      </c>
      <c r="L36" s="28"/>
      <c r="M36" s="451">
        <v>77500</v>
      </c>
      <c r="N36" s="451">
        <v>75000</v>
      </c>
      <c r="O36" s="22">
        <f>SUM(C36:N36)</f>
        <v>2630000</v>
      </c>
      <c r="P36" s="111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111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</row>
    <row r="37" spans="1:45">
      <c r="A37" s="208" t="s">
        <v>250</v>
      </c>
      <c r="B37" s="10" t="s">
        <v>48</v>
      </c>
      <c r="C37" s="399">
        <f t="shared" ref="C37:K37" si="15">C38/C36</f>
        <v>5.45</v>
      </c>
      <c r="D37" s="399">
        <f t="shared" si="15"/>
        <v>5.45</v>
      </c>
      <c r="E37" s="399">
        <f t="shared" si="15"/>
        <v>3.9857142857142858</v>
      </c>
      <c r="F37" s="399">
        <f t="shared" si="15"/>
        <v>5.45</v>
      </c>
      <c r="G37" s="399">
        <f t="shared" si="15"/>
        <v>4.1624137931034486</v>
      </c>
      <c r="H37" s="399">
        <f t="shared" si="15"/>
        <v>4.0778251821019769</v>
      </c>
      <c r="I37" s="399">
        <f t="shared" si="15"/>
        <v>4.0715816857440164</v>
      </c>
      <c r="J37" s="399">
        <f t="shared" si="15"/>
        <v>4.1577419354838714</v>
      </c>
      <c r="K37" s="399">
        <f t="shared" si="15"/>
        <v>4.0634149054505002</v>
      </c>
      <c r="L37" s="203"/>
      <c r="M37" s="452">
        <f>M38/M36</f>
        <v>4.3500000000000005</v>
      </c>
      <c r="N37" s="452">
        <f>N38/N36</f>
        <v>4.3500000000000005</v>
      </c>
      <c r="O37" s="16">
        <f>O38/O36</f>
        <v>4.162026615969582</v>
      </c>
      <c r="P37" s="4"/>
      <c r="Q37" s="10"/>
      <c r="R37" s="16"/>
      <c r="S37" s="16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6"/>
      <c r="AE37" s="4"/>
      <c r="AF37" s="10"/>
      <c r="AG37" s="16"/>
      <c r="AH37" s="16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6"/>
    </row>
    <row r="38" spans="1:45" s="112" customFormat="1">
      <c r="A38" s="363" t="s">
        <v>250</v>
      </c>
      <c r="B38" s="32" t="s">
        <v>49</v>
      </c>
      <c r="C38" s="190">
        <f>(31000*(5.8-0.35))</f>
        <v>168950</v>
      </c>
      <c r="D38" s="190">
        <f>(31000*(5.8-0.35))</f>
        <v>168950</v>
      </c>
      <c r="E38" s="190">
        <f>(30000*(5.8-0.35))+(75000*(3.75-0.35))</f>
        <v>418500</v>
      </c>
      <c r="F38" s="190">
        <f>(31000*(5.8-0.35))</f>
        <v>168950</v>
      </c>
      <c r="G38" s="190">
        <f>(135000*4.19)+((75000)*(4.45-0.35)+(75000)*(4.8-0.35)+(75000)*(4.75-0.35)+(75000)*(4-0.35))</f>
        <v>1810650</v>
      </c>
      <c r="H38" s="190">
        <f>(170500*4.19)+((75000)*(4.45-0.35)+(75000)*(4.8-0.35)+(75000)*(4.75-0.35)+(75000)*(4-0.35))</f>
        <v>1959395</v>
      </c>
      <c r="I38" s="190">
        <f>(170500*4.19)+((75000)*(4.45-0.35)+(75000)*(4.8-0.35)+(75000)*(4.75-0.35)+(75000)*(3.96-0.35))</f>
        <v>1956395</v>
      </c>
      <c r="J38" s="190">
        <f>(154000*4.19)+((70000)*(4.45-0.35)+(70000)*(4.8-0.35)+(70000)*(4.75-0.35)+(70000)*(3.96-0.35))</f>
        <v>1804460</v>
      </c>
      <c r="K38" s="190">
        <f>(139500*4.19)+((75000)*(4.45-0.35)+(75000)*(4.8-0.35)+(75000)*(4.75-0.35)+(75000)*(3.96-0.35))</f>
        <v>1826505</v>
      </c>
      <c r="L38" s="39"/>
      <c r="M38" s="456">
        <f>(77500*(4.7-0.35))</f>
        <v>337125.00000000006</v>
      </c>
      <c r="N38" s="456">
        <f>(75000*(4.7-0.35))</f>
        <v>326250.00000000006</v>
      </c>
      <c r="O38" s="32">
        <f>SUM(C38:N38)</f>
        <v>10946130</v>
      </c>
      <c r="P38" s="6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6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s="112" customFormat="1">
      <c r="A39" s="6" t="s">
        <v>754</v>
      </c>
      <c r="B39" s="108" t="s">
        <v>47</v>
      </c>
      <c r="C39" s="107"/>
      <c r="D39" s="107"/>
      <c r="E39" s="107"/>
      <c r="F39" s="107">
        <v>-9401</v>
      </c>
      <c r="G39" s="39"/>
      <c r="H39" s="290"/>
      <c r="I39" s="163"/>
      <c r="J39" s="101"/>
      <c r="K39" s="101">
        <v>-35000</v>
      </c>
      <c r="L39" s="39"/>
      <c r="M39" s="39"/>
      <c r="N39" s="107">
        <v>-177345</v>
      </c>
      <c r="O39" s="107">
        <f>SUM(C39:N39)</f>
        <v>-221746</v>
      </c>
      <c r="P39" s="6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6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s="112" customFormat="1">
      <c r="A40" s="6" t="s">
        <v>754</v>
      </c>
      <c r="B40" s="10" t="s">
        <v>48</v>
      </c>
      <c r="C40" s="81"/>
      <c r="D40" s="81"/>
      <c r="E40" s="17"/>
      <c r="F40" s="81">
        <v>3.2749999999999999</v>
      </c>
      <c r="G40" s="39"/>
      <c r="H40" s="290"/>
      <c r="I40" s="163"/>
      <c r="J40" s="101"/>
      <c r="K40" s="203">
        <f>K41/K39</f>
        <v>3.2506570152535437</v>
      </c>
      <c r="L40" s="39"/>
      <c r="M40" s="39"/>
      <c r="N40" s="17">
        <f>N41/N39</f>
        <v>4.2102406418328204</v>
      </c>
      <c r="O40" s="16">
        <f>O41/O39</f>
        <v>4.0191317866374838</v>
      </c>
      <c r="P40" s="6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6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s="112" customFormat="1">
      <c r="A41" s="6" t="s">
        <v>754</v>
      </c>
      <c r="B41" s="30" t="s">
        <v>49</v>
      </c>
      <c r="C41" s="66"/>
      <c r="D41" s="66"/>
      <c r="E41" s="66"/>
      <c r="F41" s="66">
        <f>F39*F40</f>
        <v>-30788.274999999998</v>
      </c>
      <c r="G41" s="39"/>
      <c r="H41" s="290"/>
      <c r="J41" s="305"/>
      <c r="K41" s="305">
        <v>-113772.99553387403</v>
      </c>
      <c r="L41" s="39"/>
      <c r="M41" s="39"/>
      <c r="N41" s="66">
        <v>-746665.12662584148</v>
      </c>
      <c r="O41" s="66">
        <f>SUM(C41:N41)</f>
        <v>-891226.39715971553</v>
      </c>
      <c r="P41" s="6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6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</row>
    <row r="42" spans="1:45" s="31" customFormat="1">
      <c r="A42" s="111" t="s">
        <v>271</v>
      </c>
      <c r="B42" s="22" t="s">
        <v>47</v>
      </c>
      <c r="C42" s="39"/>
      <c r="D42" s="117"/>
      <c r="E42" s="28"/>
      <c r="F42" s="28"/>
      <c r="G42" s="28"/>
      <c r="H42" s="28"/>
      <c r="I42" s="374"/>
      <c r="J42" s="117"/>
      <c r="K42" s="28"/>
      <c r="L42" s="117"/>
      <c r="M42" s="117"/>
      <c r="N42" s="117"/>
      <c r="O42" s="22">
        <f>SUM(C42:N42)</f>
        <v>0</v>
      </c>
      <c r="P42" s="111"/>
      <c r="Q42" s="22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22"/>
      <c r="AE42" s="111"/>
      <c r="AF42" s="22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22"/>
    </row>
    <row r="43" spans="1:45" s="112" customFormat="1">
      <c r="A43" s="111" t="s">
        <v>271</v>
      </c>
      <c r="B43" s="32" t="s">
        <v>48</v>
      </c>
      <c r="C43" s="116"/>
      <c r="D43" s="116"/>
      <c r="E43" s="39"/>
      <c r="F43" s="39"/>
      <c r="G43" s="39"/>
      <c r="H43" s="17"/>
      <c r="I43" s="163"/>
      <c r="J43" s="118"/>
      <c r="K43" s="17"/>
      <c r="L43" s="17"/>
      <c r="M43" s="116"/>
      <c r="N43" s="116"/>
      <c r="O43" s="16" t="e">
        <f>O44/O42</f>
        <v>#DIV/0!</v>
      </c>
      <c r="P43" s="6"/>
      <c r="Q43" s="32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32"/>
      <c r="AE43" s="6"/>
      <c r="AF43" s="32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32"/>
    </row>
    <row r="44" spans="1:45" s="112" customFormat="1">
      <c r="A44" s="111" t="s">
        <v>271</v>
      </c>
      <c r="B44" s="32" t="s">
        <v>49</v>
      </c>
      <c r="C44" s="116"/>
      <c r="D44" s="116"/>
      <c r="E44" s="39"/>
      <c r="F44" s="39"/>
      <c r="G44" s="39"/>
      <c r="H44" s="39"/>
      <c r="I44" s="39"/>
      <c r="J44" s="17"/>
      <c r="K44" s="39"/>
      <c r="L44" s="116"/>
      <c r="M44" s="116"/>
      <c r="N44" s="116"/>
      <c r="O44" s="32">
        <f>SUM(C44:N44)</f>
        <v>0</v>
      </c>
      <c r="P44" s="6"/>
      <c r="Q44" s="32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32"/>
      <c r="AE44" s="6"/>
      <c r="AF44" s="32"/>
      <c r="AG44" s="116"/>
      <c r="AH44" s="116"/>
      <c r="AI44" s="116"/>
      <c r="AJ44" s="116"/>
      <c r="AK44" s="116"/>
      <c r="AL44" s="116"/>
      <c r="AM44" s="116"/>
      <c r="AN44" s="116"/>
      <c r="AO44" s="116"/>
      <c r="AP44" s="116"/>
      <c r="AQ44" s="116"/>
      <c r="AR44" s="116"/>
      <c r="AS44" s="32"/>
    </row>
    <row r="45" spans="1:45" s="31" customFormat="1">
      <c r="A45" s="111" t="s">
        <v>272</v>
      </c>
      <c r="B45" s="22" t="s">
        <v>47</v>
      </c>
      <c r="C45" s="28"/>
      <c r="D45" s="28"/>
      <c r="E45" s="28"/>
      <c r="F45" s="28"/>
      <c r="G45" s="28"/>
      <c r="H45" s="195">
        <v>175631</v>
      </c>
      <c r="I45" s="427">
        <v>214426</v>
      </c>
      <c r="J45" s="28"/>
      <c r="K45" s="81"/>
      <c r="L45" s="28"/>
      <c r="M45" s="28"/>
      <c r="N45" s="28"/>
      <c r="O45" s="22">
        <f>SUM(C45:N45)</f>
        <v>390057</v>
      </c>
      <c r="P45" s="111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111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</row>
    <row r="46" spans="1:45" s="99" customFormat="1">
      <c r="A46" s="111" t="s">
        <v>272</v>
      </c>
      <c r="B46" s="16" t="s">
        <v>48</v>
      </c>
      <c r="C46" s="17"/>
      <c r="D46" s="17"/>
      <c r="E46" s="17"/>
      <c r="F46" s="17"/>
      <c r="G46" s="17"/>
      <c r="H46" s="189">
        <f>H47/H45</f>
        <v>4.317785860332001</v>
      </c>
      <c r="I46" s="189">
        <f>I47/I45</f>
        <v>4.7321387794588237</v>
      </c>
      <c r="J46" s="17"/>
      <c r="K46" s="17"/>
      <c r="L46" s="17"/>
      <c r="M46" s="17"/>
      <c r="N46" s="17"/>
      <c r="O46" s="16">
        <f>O47/O45</f>
        <v>4.5455680537977976</v>
      </c>
      <c r="P46" s="7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7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</row>
    <row r="47" spans="1:45" s="112" customFormat="1">
      <c r="A47" s="111" t="s">
        <v>272</v>
      </c>
      <c r="B47" s="32" t="s">
        <v>49</v>
      </c>
      <c r="C47" s="39"/>
      <c r="D47" s="39"/>
      <c r="E47" s="39"/>
      <c r="F47" s="39"/>
      <c r="G47" s="357"/>
      <c r="H47" s="190">
        <v>758337.04843596963</v>
      </c>
      <c r="I47" s="190">
        <v>1014693.5899242377</v>
      </c>
      <c r="J47" s="39"/>
      <c r="K47" s="39"/>
      <c r="L47" s="39"/>
      <c r="M47" s="39"/>
      <c r="N47" s="39"/>
      <c r="O47" s="32">
        <f>SUM(C47:N47)</f>
        <v>1773030.6383602074</v>
      </c>
      <c r="P47" s="6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6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s="105" customFormat="1">
      <c r="A48" s="119" t="s">
        <v>756</v>
      </c>
      <c r="B48" s="108" t="s">
        <v>47</v>
      </c>
      <c r="C48" s="107"/>
      <c r="D48" s="107"/>
      <c r="E48" s="107"/>
      <c r="F48" s="286"/>
      <c r="G48" s="286"/>
      <c r="H48" s="286"/>
      <c r="I48" s="286"/>
      <c r="J48" s="286"/>
      <c r="K48" s="380"/>
      <c r="L48" s="286"/>
      <c r="M48" s="107"/>
      <c r="N48" s="107"/>
      <c r="O48" s="108">
        <f>SUM(C48:N48)</f>
        <v>0</v>
      </c>
      <c r="P48" s="119"/>
      <c r="Q48" s="108"/>
      <c r="R48" s="108"/>
      <c r="S48" s="108"/>
      <c r="T48" s="108"/>
      <c r="U48" s="120"/>
      <c r="V48" s="120"/>
      <c r="W48" s="120"/>
      <c r="X48" s="120"/>
      <c r="Y48" s="120"/>
      <c r="Z48" s="120"/>
      <c r="AA48" s="120"/>
      <c r="AB48" s="108"/>
      <c r="AC48" s="108"/>
      <c r="AD48" s="108"/>
      <c r="AE48" s="119"/>
      <c r="AF48" s="108"/>
      <c r="AG48" s="108"/>
      <c r="AH48" s="108"/>
      <c r="AI48" s="108"/>
      <c r="AJ48" s="120"/>
      <c r="AK48" s="120"/>
      <c r="AL48" s="120"/>
      <c r="AM48" s="120"/>
      <c r="AN48" s="120"/>
      <c r="AO48" s="120"/>
      <c r="AP48" s="120"/>
      <c r="AQ48" s="108"/>
      <c r="AR48" s="108"/>
      <c r="AS48" s="108"/>
    </row>
    <row r="49" spans="1:45">
      <c r="A49" s="119" t="s">
        <v>756</v>
      </c>
      <c r="B49" s="10" t="s">
        <v>48</v>
      </c>
      <c r="C49" s="17"/>
      <c r="D49" s="17"/>
      <c r="E49" s="17"/>
      <c r="F49" s="81"/>
      <c r="G49" s="17"/>
      <c r="H49" s="17"/>
      <c r="I49" s="291"/>
      <c r="J49" s="23"/>
      <c r="K49" s="381"/>
      <c r="L49" s="18"/>
      <c r="M49" s="24"/>
      <c r="N49" s="17"/>
      <c r="O49" s="16" t="e">
        <f>O50/O48</f>
        <v>#DIV/0!</v>
      </c>
      <c r="P49" s="4"/>
      <c r="Q49" s="10"/>
      <c r="R49" s="16"/>
      <c r="S49" s="16"/>
      <c r="T49" s="10"/>
      <c r="U49" s="19"/>
      <c r="V49" s="19"/>
      <c r="W49" s="19"/>
      <c r="X49" s="19"/>
      <c r="Y49" s="19"/>
      <c r="Z49" s="19"/>
      <c r="AA49" s="19"/>
      <c r="AB49" s="10"/>
      <c r="AC49" s="10"/>
      <c r="AD49" s="25"/>
      <c r="AE49" s="4"/>
      <c r="AF49" s="10"/>
      <c r="AG49" s="16"/>
      <c r="AH49" s="16"/>
      <c r="AI49" s="10"/>
      <c r="AJ49" s="19"/>
      <c r="AK49" s="19"/>
      <c r="AL49" s="19"/>
      <c r="AM49" s="19"/>
      <c r="AN49" s="19"/>
      <c r="AO49" s="19"/>
      <c r="AP49" s="19"/>
      <c r="AQ49" s="10"/>
      <c r="AR49" s="10"/>
      <c r="AS49" s="25"/>
    </row>
    <row r="50" spans="1:45" s="110" customFormat="1">
      <c r="A50" s="119" t="s">
        <v>756</v>
      </c>
      <c r="B50" s="30" t="s">
        <v>49</v>
      </c>
      <c r="C50" s="66"/>
      <c r="D50" s="66"/>
      <c r="E50" s="66"/>
      <c r="F50" s="377"/>
      <c r="G50" s="287"/>
      <c r="H50" s="287"/>
      <c r="I50" s="287"/>
      <c r="J50" s="287"/>
      <c r="K50" s="381"/>
      <c r="L50" s="287"/>
      <c r="M50" s="66"/>
      <c r="N50" s="66"/>
      <c r="O50" s="30">
        <f>SUM(C50:N50)</f>
        <v>0</v>
      </c>
      <c r="P50" s="121"/>
      <c r="Q50" s="30"/>
      <c r="R50" s="30"/>
      <c r="S50" s="30"/>
      <c r="T50" s="30"/>
      <c r="U50" s="38"/>
      <c r="V50" s="38"/>
      <c r="W50" s="38"/>
      <c r="X50" s="38"/>
      <c r="Y50" s="38"/>
      <c r="Z50" s="38"/>
      <c r="AA50" s="38"/>
      <c r="AB50" s="30"/>
      <c r="AC50" s="30"/>
      <c r="AD50" s="30"/>
      <c r="AE50" s="121"/>
      <c r="AF50" s="30"/>
      <c r="AG50" s="30"/>
      <c r="AH50" s="30"/>
      <c r="AI50" s="30"/>
      <c r="AJ50" s="38"/>
      <c r="AK50" s="38"/>
      <c r="AL50" s="38"/>
      <c r="AM50" s="38"/>
      <c r="AN50" s="38"/>
      <c r="AO50" s="38"/>
      <c r="AP50" s="38"/>
      <c r="AQ50" s="30"/>
      <c r="AR50" s="30"/>
      <c r="AS50" s="30"/>
    </row>
    <row r="51" spans="1:45" s="110" customFormat="1">
      <c r="A51" s="121" t="s">
        <v>274</v>
      </c>
      <c r="B51" s="22" t="s">
        <v>47</v>
      </c>
      <c r="C51" s="66"/>
      <c r="D51" s="66"/>
      <c r="E51" s="66"/>
      <c r="F51" s="377"/>
      <c r="G51" s="287"/>
      <c r="H51" s="287"/>
      <c r="I51" s="287"/>
      <c r="J51" s="286"/>
      <c r="K51" s="287"/>
      <c r="L51" s="287"/>
      <c r="M51" s="66"/>
      <c r="N51" s="66"/>
      <c r="O51" s="30"/>
      <c r="P51" s="121"/>
      <c r="Q51" s="30"/>
      <c r="R51" s="30"/>
      <c r="S51" s="30"/>
      <c r="T51" s="30"/>
      <c r="U51" s="38"/>
      <c r="V51" s="38"/>
      <c r="W51" s="38"/>
      <c r="X51" s="38"/>
      <c r="Y51" s="38"/>
      <c r="Z51" s="38"/>
      <c r="AA51" s="38"/>
      <c r="AB51" s="30"/>
      <c r="AC51" s="30"/>
      <c r="AD51" s="30"/>
      <c r="AE51" s="121"/>
      <c r="AF51" s="30"/>
      <c r="AG51" s="30"/>
      <c r="AH51" s="30"/>
      <c r="AI51" s="30"/>
      <c r="AJ51" s="38"/>
      <c r="AK51" s="38"/>
      <c r="AL51" s="38"/>
      <c r="AM51" s="38"/>
      <c r="AN51" s="38"/>
      <c r="AO51" s="38"/>
      <c r="AP51" s="38"/>
      <c r="AQ51" s="30"/>
      <c r="AR51" s="30"/>
      <c r="AS51" s="30"/>
    </row>
    <row r="52" spans="1:45" s="110" customFormat="1">
      <c r="A52" s="121" t="s">
        <v>274</v>
      </c>
      <c r="B52" s="16" t="s">
        <v>48</v>
      </c>
      <c r="C52" s="66"/>
      <c r="D52" s="66"/>
      <c r="E52" s="66"/>
      <c r="F52" s="287"/>
      <c r="G52" s="287"/>
      <c r="H52" s="287"/>
      <c r="I52" s="287"/>
      <c r="J52" s="291"/>
      <c r="K52" s="291"/>
      <c r="L52" s="287"/>
      <c r="M52" s="66"/>
      <c r="N52" s="66"/>
      <c r="O52" s="30"/>
      <c r="P52" s="121"/>
      <c r="Q52" s="30"/>
      <c r="R52" s="30"/>
      <c r="S52" s="30"/>
      <c r="T52" s="30"/>
      <c r="U52" s="38"/>
      <c r="V52" s="38"/>
      <c r="W52" s="38"/>
      <c r="X52" s="38"/>
      <c r="Y52" s="38"/>
      <c r="Z52" s="38"/>
      <c r="AA52" s="38"/>
      <c r="AB52" s="30"/>
      <c r="AC52" s="30"/>
      <c r="AD52" s="30"/>
      <c r="AE52" s="121"/>
      <c r="AF52" s="30"/>
      <c r="AG52" s="30"/>
      <c r="AH52" s="30"/>
      <c r="AI52" s="30"/>
      <c r="AJ52" s="38"/>
      <c r="AK52" s="38"/>
      <c r="AL52" s="38"/>
      <c r="AM52" s="38"/>
      <c r="AN52" s="38"/>
      <c r="AO52" s="38"/>
      <c r="AP52" s="38"/>
      <c r="AQ52" s="30"/>
      <c r="AR52" s="30"/>
      <c r="AS52" s="30"/>
    </row>
    <row r="53" spans="1:45" s="110" customFormat="1">
      <c r="A53" s="121" t="s">
        <v>274</v>
      </c>
      <c r="B53" s="32" t="s">
        <v>49</v>
      </c>
      <c r="C53" s="66"/>
      <c r="D53" s="66"/>
      <c r="E53" s="66"/>
      <c r="F53" s="287"/>
      <c r="G53" s="287"/>
      <c r="H53" s="287"/>
      <c r="I53" s="287"/>
      <c r="J53" s="287"/>
      <c r="K53" s="381"/>
      <c r="L53" s="287"/>
      <c r="M53" s="66"/>
      <c r="N53" s="66"/>
      <c r="O53" s="30"/>
      <c r="P53" s="121"/>
      <c r="Q53" s="30"/>
      <c r="R53" s="30"/>
      <c r="S53" s="30"/>
      <c r="T53" s="30"/>
      <c r="U53" s="38"/>
      <c r="V53" s="38"/>
      <c r="W53" s="38"/>
      <c r="X53" s="38"/>
      <c r="Y53" s="38"/>
      <c r="Z53" s="38"/>
      <c r="AA53" s="38"/>
      <c r="AB53" s="30"/>
      <c r="AC53" s="30"/>
      <c r="AD53" s="30"/>
      <c r="AE53" s="121"/>
      <c r="AF53" s="30"/>
      <c r="AG53" s="30"/>
      <c r="AH53" s="30"/>
      <c r="AI53" s="30"/>
      <c r="AJ53" s="38"/>
      <c r="AK53" s="38"/>
      <c r="AL53" s="38"/>
      <c r="AM53" s="38"/>
      <c r="AN53" s="38"/>
      <c r="AO53" s="38"/>
      <c r="AP53" s="38"/>
      <c r="AQ53" s="30"/>
      <c r="AR53" s="30"/>
      <c r="AS53" s="30"/>
    </row>
    <row r="54" spans="1:45" s="31" customFormat="1">
      <c r="A54" s="111" t="s">
        <v>192</v>
      </c>
      <c r="B54" s="22" t="s">
        <v>47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2"/>
      <c r="P54" s="111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111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</row>
    <row r="55" spans="1:45" s="99" customFormat="1">
      <c r="A55" s="7" t="s">
        <v>192</v>
      </c>
      <c r="B55" s="16" t="s">
        <v>48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6"/>
      <c r="P55" s="7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7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</row>
    <row r="56" spans="1:45" s="112" customFormat="1">
      <c r="A56" s="6" t="s">
        <v>192</v>
      </c>
      <c r="B56" s="32" t="s">
        <v>49</v>
      </c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2"/>
      <c r="P56" s="6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6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>
      <c r="A57" s="33" t="s">
        <v>50</v>
      </c>
      <c r="B57" s="97" t="s">
        <v>47</v>
      </c>
      <c r="C57" s="131">
        <f t="shared" ref="C57:H57" si="16">SUM(C30,C33,C36,C39,C42,C45,C48,C54)</f>
        <v>1011375</v>
      </c>
      <c r="D57" s="131">
        <f t="shared" si="16"/>
        <v>1011778</v>
      </c>
      <c r="E57" s="131">
        <f t="shared" si="16"/>
        <v>653658</v>
      </c>
      <c r="F57" s="131">
        <f t="shared" si="16"/>
        <v>575302</v>
      </c>
      <c r="G57" s="131">
        <f t="shared" si="16"/>
        <v>1190877</v>
      </c>
      <c r="H57" s="131">
        <f t="shared" si="16"/>
        <v>1739591</v>
      </c>
      <c r="I57" s="131">
        <f t="shared" ref="I57:N57" si="17">SUM(I30,I33,I36,I39,I42,I45,I48,I54)</f>
        <v>1785759</v>
      </c>
      <c r="J57" s="131">
        <f t="shared" si="17"/>
        <v>1035127</v>
      </c>
      <c r="K57" s="131">
        <f t="shared" si="17"/>
        <v>825549</v>
      </c>
      <c r="L57" s="131">
        <f t="shared" si="17"/>
        <v>804575</v>
      </c>
      <c r="M57" s="131">
        <f t="shared" si="17"/>
        <v>803399</v>
      </c>
      <c r="N57" s="131">
        <f t="shared" si="17"/>
        <v>592005</v>
      </c>
      <c r="O57" s="59">
        <f>SUM(C57:N57)</f>
        <v>12028995</v>
      </c>
      <c r="P57" s="33"/>
      <c r="Q57" s="97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33"/>
      <c r="AF57" s="97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</row>
    <row r="58" spans="1:45" s="112" customFormat="1">
      <c r="A58" s="123" t="s">
        <v>66</v>
      </c>
      <c r="B58" s="104" t="s">
        <v>49</v>
      </c>
      <c r="C58" s="199">
        <f t="shared" ref="C58:H58" si="18">SUM(C32,C35,C38,C41,C44,C47,C50,C56)</f>
        <v>4621478.45</v>
      </c>
      <c r="D58" s="199">
        <f t="shared" si="18"/>
        <v>4701817.43</v>
      </c>
      <c r="E58" s="199">
        <f t="shared" si="18"/>
        <v>2329926.2999999998</v>
      </c>
      <c r="F58" s="199">
        <f t="shared" si="18"/>
        <v>2180010.5649999999</v>
      </c>
      <c r="G58" s="199">
        <f t="shared" si="18"/>
        <v>4486379.9945640136</v>
      </c>
      <c r="H58" s="199">
        <f t="shared" si="18"/>
        <v>7261868.8817562703</v>
      </c>
      <c r="I58" s="199">
        <f t="shared" ref="I58:N58" si="19">SUM(I32,I35,I38,I41,I44,I47,I50,I56)</f>
        <v>7645420.8861863194</v>
      </c>
      <c r="J58" s="199">
        <f t="shared" si="19"/>
        <v>4331349.2617101725</v>
      </c>
      <c r="K58" s="199">
        <f t="shared" si="19"/>
        <v>3271909.3691545334</v>
      </c>
      <c r="L58" s="199">
        <f t="shared" si="19"/>
        <v>3276051.8083661934</v>
      </c>
      <c r="M58" s="199">
        <f t="shared" si="19"/>
        <v>3366345.1392313307</v>
      </c>
      <c r="N58" s="199">
        <f t="shared" si="19"/>
        <v>2444072.6233741585</v>
      </c>
      <c r="O58" s="43">
        <f>SUM(C58:N58)</f>
        <v>49916630.709342994</v>
      </c>
      <c r="P58" s="123"/>
      <c r="Q58" s="104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123"/>
      <c r="AF58" s="104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</row>
    <row r="59" spans="1:45" s="99" customFormat="1">
      <c r="A59" s="115" t="s">
        <v>51</v>
      </c>
      <c r="B59" s="98" t="s">
        <v>48</v>
      </c>
      <c r="C59" s="197">
        <f t="shared" ref="C59:L59" si="20">+C58/C57</f>
        <v>4.5695003831417624</v>
      </c>
      <c r="D59" s="197">
        <f t="shared" si="20"/>
        <v>4.6470840737790304</v>
      </c>
      <c r="E59" s="197">
        <f t="shared" si="20"/>
        <v>3.5644424148407881</v>
      </c>
      <c r="F59" s="197">
        <f t="shared" si="20"/>
        <v>3.7893324984095309</v>
      </c>
      <c r="G59" s="197">
        <f t="shared" si="20"/>
        <v>3.7672908239591609</v>
      </c>
      <c r="H59" s="197">
        <f t="shared" si="20"/>
        <v>4.1744691032295931</v>
      </c>
      <c r="I59" s="197">
        <f t="shared" si="20"/>
        <v>4.2813284917989041</v>
      </c>
      <c r="J59" s="197">
        <f t="shared" si="20"/>
        <v>4.1843650698998021</v>
      </c>
      <c r="K59" s="197">
        <f t="shared" si="20"/>
        <v>3.9633133456094471</v>
      </c>
      <c r="L59" s="197">
        <f t="shared" si="20"/>
        <v>4.0717792727417503</v>
      </c>
      <c r="M59" s="197">
        <f t="shared" ref="M59:N59" si="21">+M58/M57</f>
        <v>4.1901286150858175</v>
      </c>
      <c r="N59" s="197">
        <f t="shared" si="21"/>
        <v>4.1284661841946582</v>
      </c>
      <c r="O59" s="34">
        <f>+O58/O57</f>
        <v>4.1496925312000705</v>
      </c>
      <c r="P59" s="115"/>
      <c r="Q59" s="98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15"/>
      <c r="AF59" s="98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</row>
    <row r="60" spans="1:45" s="99" customFormat="1">
      <c r="A60" s="115" t="s">
        <v>356</v>
      </c>
      <c r="B60" s="98" t="s">
        <v>47</v>
      </c>
      <c r="C60" s="131">
        <f t="shared" ref="C60:K60" si="22">SUM(C33,C45)</f>
        <v>0</v>
      </c>
      <c r="D60" s="131">
        <f t="shared" si="22"/>
        <v>0</v>
      </c>
      <c r="E60" s="131">
        <f t="shared" si="22"/>
        <v>0</v>
      </c>
      <c r="F60" s="131">
        <f t="shared" si="22"/>
        <v>26145</v>
      </c>
      <c r="G60" s="131">
        <f t="shared" si="22"/>
        <v>469107</v>
      </c>
      <c r="H60" s="131">
        <f t="shared" si="22"/>
        <v>838762</v>
      </c>
      <c r="I60" s="131">
        <f t="shared" si="22"/>
        <v>788086</v>
      </c>
      <c r="J60" s="131">
        <f t="shared" si="22"/>
        <v>221475</v>
      </c>
      <c r="K60" s="131">
        <f t="shared" si="22"/>
        <v>114720</v>
      </c>
      <c r="L60" s="131">
        <f t="shared" ref="L60:M60" si="23">SUM(L33,L45)</f>
        <v>122225</v>
      </c>
      <c r="M60" s="131">
        <f t="shared" si="23"/>
        <v>20804</v>
      </c>
      <c r="N60" s="131"/>
      <c r="O60" s="59">
        <f>SUM(C60:N60)</f>
        <v>2601324</v>
      </c>
      <c r="P60" s="115"/>
      <c r="Q60" s="98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15"/>
      <c r="AF60" s="98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</row>
    <row r="61" spans="1:45" s="112" customFormat="1">
      <c r="A61" s="123" t="s">
        <v>356</v>
      </c>
      <c r="B61" s="284" t="s">
        <v>49</v>
      </c>
      <c r="C61" s="199">
        <f t="shared" ref="C61:K61" si="24">SUM(C35,C47)</f>
        <v>0</v>
      </c>
      <c r="D61" s="199">
        <f t="shared" si="24"/>
        <v>0</v>
      </c>
      <c r="E61" s="199">
        <f t="shared" si="24"/>
        <v>0</v>
      </c>
      <c r="F61" s="199">
        <f t="shared" si="24"/>
        <v>87507.47</v>
      </c>
      <c r="G61" s="199">
        <f t="shared" si="24"/>
        <v>1748029.0445640134</v>
      </c>
      <c r="H61" s="199">
        <f t="shared" si="24"/>
        <v>3585812.1467562709</v>
      </c>
      <c r="I61" s="199">
        <f t="shared" si="24"/>
        <v>3579197.6611863188</v>
      </c>
      <c r="J61" s="199">
        <f t="shared" si="24"/>
        <v>957373.48171017331</v>
      </c>
      <c r="K61" s="199">
        <f t="shared" si="24"/>
        <v>455351.83968840761</v>
      </c>
      <c r="L61" s="199">
        <f t="shared" ref="L61:M61" si="25">SUM(L35,L47)</f>
        <v>513072.05836619326</v>
      </c>
      <c r="M61" s="199">
        <f t="shared" si="25"/>
        <v>96580.614231330663</v>
      </c>
      <c r="N61" s="199"/>
      <c r="O61" s="43">
        <f>SUM(C61:N61)</f>
        <v>11022924.316502707</v>
      </c>
      <c r="P61" s="123"/>
      <c r="Q61" s="104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123"/>
      <c r="AF61" s="104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s="99" customFormat="1">
      <c r="A62" s="115" t="s">
        <v>356</v>
      </c>
      <c r="B62" s="114" t="s">
        <v>48</v>
      </c>
      <c r="C62" s="197"/>
      <c r="D62" s="197"/>
      <c r="E62" s="197"/>
      <c r="F62" s="197">
        <f t="shared" ref="F62:K62" si="26">F61/F60</f>
        <v>3.347005928475808</v>
      </c>
      <c r="G62" s="197">
        <f t="shared" si="26"/>
        <v>3.7262906854172146</v>
      </c>
      <c r="H62" s="197">
        <f t="shared" si="26"/>
        <v>4.2751247037374975</v>
      </c>
      <c r="I62" s="197">
        <f t="shared" si="26"/>
        <v>4.5416333511651255</v>
      </c>
      <c r="J62" s="197">
        <f t="shared" si="26"/>
        <v>4.3227157995718404</v>
      </c>
      <c r="K62" s="197">
        <f t="shared" si="26"/>
        <v>3.9692454645084343</v>
      </c>
      <c r="L62" s="197">
        <f t="shared" ref="L62:M62" si="27">L61/L60</f>
        <v>4.1977668919304012</v>
      </c>
      <c r="M62" s="197">
        <f t="shared" si="27"/>
        <v>4.6424059907388324</v>
      </c>
      <c r="N62" s="197"/>
      <c r="O62" s="34">
        <f>O61/O60</f>
        <v>4.2374284466305259</v>
      </c>
      <c r="P62" s="115"/>
      <c r="Q62" s="98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15"/>
      <c r="AF62" s="98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</row>
    <row r="63" spans="1:45" s="99" customFormat="1">
      <c r="A63" s="33" t="s">
        <v>598</v>
      </c>
      <c r="B63" s="114" t="s">
        <v>48</v>
      </c>
      <c r="C63" s="207"/>
      <c r="D63" s="207"/>
      <c r="E63" s="207"/>
      <c r="F63" s="207">
        <f t="shared" ref="F63:K63" si="28">F62-F31</f>
        <v>-0.35749930128092045</v>
      </c>
      <c r="G63" s="207">
        <f t="shared" si="28"/>
        <v>0.49129068541721477</v>
      </c>
      <c r="H63" s="207">
        <f t="shared" si="28"/>
        <v>0.19103406283477664</v>
      </c>
      <c r="I63" s="207">
        <f t="shared" si="28"/>
        <v>0.46209280090438121</v>
      </c>
      <c r="J63" s="207">
        <f t="shared" si="28"/>
        <v>0.18862515866911966</v>
      </c>
      <c r="K63" s="207">
        <f t="shared" si="28"/>
        <v>0.24424546450843376</v>
      </c>
      <c r="L63" s="207">
        <f t="shared" ref="L63:M63" si="29">L62-L31</f>
        <v>0.14855497722387234</v>
      </c>
      <c r="M63" s="207">
        <f t="shared" si="29"/>
        <v>0.48319407603230324</v>
      </c>
      <c r="N63" s="207"/>
      <c r="O63" s="207">
        <f>O62-O31</f>
        <v>0.12899568220008995</v>
      </c>
      <c r="P63" s="115"/>
      <c r="Q63" s="98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15"/>
      <c r="AF63" s="98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</row>
    <row r="64" spans="1:45" s="110" customFormat="1">
      <c r="A64" s="234" t="s">
        <v>598</v>
      </c>
      <c r="B64" s="285" t="s">
        <v>49</v>
      </c>
      <c r="C64" s="192"/>
      <c r="D64" s="192"/>
      <c r="E64" s="192"/>
      <c r="F64" s="192">
        <f t="shared" ref="F64:K64" si="30">F60*F63</f>
        <v>-9346.8192319896643</v>
      </c>
      <c r="G64" s="192">
        <f t="shared" si="30"/>
        <v>230467.89956401338</v>
      </c>
      <c r="H64" s="192">
        <f t="shared" si="30"/>
        <v>160232.11261142293</v>
      </c>
      <c r="I64" s="192">
        <f t="shared" si="30"/>
        <v>364168.86709353019</v>
      </c>
      <c r="J64" s="192">
        <f t="shared" si="30"/>
        <v>41775.757016243275</v>
      </c>
      <c r="K64" s="192">
        <f t="shared" si="30"/>
        <v>28019.839688407523</v>
      </c>
      <c r="L64" s="192">
        <f t="shared" ref="L64:M64" si="31">L60*L63</f>
        <v>18157.132091187796</v>
      </c>
      <c r="M64" s="192">
        <f t="shared" si="31"/>
        <v>10052.369557776037</v>
      </c>
      <c r="N64" s="192"/>
      <c r="O64" s="169">
        <f>SUM(C64:N64)</f>
        <v>843527.15839059139</v>
      </c>
      <c r="P64" s="234"/>
      <c r="Q64" s="109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234"/>
      <c r="AF64" s="109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</row>
    <row r="65" spans="1:45">
      <c r="A65" s="115" t="s">
        <v>357</v>
      </c>
      <c r="B65" s="97"/>
      <c r="C65" s="140"/>
      <c r="D65" s="140"/>
      <c r="E65" s="140"/>
      <c r="F65" s="140">
        <f t="shared" ref="F65:K65" si="32">F60/F57</f>
        <v>4.5445696347309758E-2</v>
      </c>
      <c r="G65" s="140">
        <f t="shared" si="32"/>
        <v>0.39391725593827071</v>
      </c>
      <c r="H65" s="140">
        <f t="shared" si="32"/>
        <v>0.48216046185568906</v>
      </c>
      <c r="I65" s="140">
        <f t="shared" si="32"/>
        <v>0.44131710941958013</v>
      </c>
      <c r="J65" s="140">
        <f t="shared" si="32"/>
        <v>0.21395925330901425</v>
      </c>
      <c r="K65" s="140">
        <f t="shared" si="32"/>
        <v>0.13896207251174672</v>
      </c>
      <c r="L65" s="140">
        <f t="shared" ref="L65:M65" si="33">L60/L57</f>
        <v>0.15191250038840381</v>
      </c>
      <c r="M65" s="140">
        <f t="shared" si="33"/>
        <v>2.5894978709209246E-2</v>
      </c>
      <c r="N65" s="140"/>
      <c r="O65" s="140">
        <f>O60/O57</f>
        <v>0.21625447512448048</v>
      </c>
      <c r="P65" s="33"/>
      <c r="Q65" s="97"/>
      <c r="R65" s="122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22"/>
      <c r="AE65" s="33"/>
      <c r="AF65" s="97"/>
      <c r="AG65" s="122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22"/>
    </row>
    <row r="66" spans="1:45">
      <c r="F66" s="24"/>
      <c r="G66" s="24"/>
      <c r="H66" s="24"/>
      <c r="I66" s="24"/>
      <c r="J66" s="24"/>
      <c r="K66" s="22"/>
      <c r="L66" s="28"/>
      <c r="M66" s="24"/>
      <c r="N66" s="24"/>
      <c r="O66" s="22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22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22"/>
    </row>
    <row r="67" spans="1:45" s="31" customFormat="1">
      <c r="A67" s="111" t="s">
        <v>278</v>
      </c>
      <c r="B67" s="22" t="s">
        <v>47</v>
      </c>
      <c r="C67" s="195">
        <v>55477</v>
      </c>
      <c r="D67" s="195">
        <v>55490</v>
      </c>
      <c r="E67" s="195">
        <v>53700</v>
      </c>
      <c r="F67" s="195">
        <v>55490</v>
      </c>
      <c r="G67" s="195">
        <v>53700</v>
      </c>
      <c r="H67" s="195">
        <v>55490</v>
      </c>
      <c r="I67" s="195">
        <v>55490</v>
      </c>
      <c r="J67" s="195">
        <v>50120</v>
      </c>
      <c r="K67" s="195">
        <v>55490</v>
      </c>
      <c r="L67" s="451">
        <v>53220</v>
      </c>
      <c r="M67" s="451">
        <v>54994</v>
      </c>
      <c r="N67" s="451">
        <v>53220</v>
      </c>
      <c r="O67" s="22">
        <f>SUM(C67:N67)</f>
        <v>651881</v>
      </c>
      <c r="P67" s="111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111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</row>
    <row r="68" spans="1:45" s="99" customFormat="1">
      <c r="A68" s="7" t="s">
        <v>278</v>
      </c>
      <c r="B68" s="16" t="s">
        <v>48</v>
      </c>
      <c r="C68" s="189">
        <v>4.7</v>
      </c>
      <c r="D68" s="189">
        <v>4.75</v>
      </c>
      <c r="E68" s="189">
        <v>3.61</v>
      </c>
      <c r="F68" s="189">
        <v>3.81</v>
      </c>
      <c r="G68" s="189">
        <v>3.28</v>
      </c>
      <c r="H68" s="189">
        <v>4.25</v>
      </c>
      <c r="I68" s="189">
        <v>4.18</v>
      </c>
      <c r="J68" s="189">
        <v>4.26</v>
      </c>
      <c r="K68" s="189">
        <v>3.75</v>
      </c>
      <c r="L68" s="452">
        <v>4.2</v>
      </c>
      <c r="M68" s="452">
        <v>4.33</v>
      </c>
      <c r="N68" s="452">
        <v>4.3</v>
      </c>
      <c r="O68" s="16">
        <f>O69/O67</f>
        <v>4.1197744987198588</v>
      </c>
      <c r="P68" s="7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7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</row>
    <row r="69" spans="1:45" s="112" customFormat="1">
      <c r="A69" s="111" t="s">
        <v>278</v>
      </c>
      <c r="B69" s="32" t="s">
        <v>49</v>
      </c>
      <c r="C69" s="190">
        <f t="shared" ref="C69:N69" si="34">C67*C68</f>
        <v>260741.90000000002</v>
      </c>
      <c r="D69" s="190">
        <f t="shared" si="34"/>
        <v>263577.5</v>
      </c>
      <c r="E69" s="190">
        <f t="shared" si="34"/>
        <v>193857</v>
      </c>
      <c r="F69" s="190">
        <f t="shared" si="34"/>
        <v>211416.9</v>
      </c>
      <c r="G69" s="190">
        <f t="shared" si="34"/>
        <v>176136</v>
      </c>
      <c r="H69" s="190">
        <f t="shared" si="34"/>
        <v>235832.5</v>
      </c>
      <c r="I69" s="190">
        <f t="shared" si="34"/>
        <v>231948.19999999998</v>
      </c>
      <c r="J69" s="190">
        <f t="shared" si="34"/>
        <v>213511.19999999998</v>
      </c>
      <c r="K69" s="190">
        <f t="shared" si="34"/>
        <v>208087.5</v>
      </c>
      <c r="L69" s="456">
        <f t="shared" si="34"/>
        <v>223524</v>
      </c>
      <c r="M69" s="456">
        <f t="shared" si="34"/>
        <v>238124.02</v>
      </c>
      <c r="N69" s="456">
        <f t="shared" si="34"/>
        <v>228846</v>
      </c>
      <c r="O69" s="32">
        <f>SUM(C69:N69)</f>
        <v>2685602.72</v>
      </c>
      <c r="P69" s="6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6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</row>
    <row r="70" spans="1:45" s="105" customFormat="1">
      <c r="A70" s="119" t="s">
        <v>279</v>
      </c>
      <c r="B70" s="108" t="s">
        <v>47</v>
      </c>
      <c r="C70" s="196">
        <v>81386</v>
      </c>
      <c r="D70" s="196">
        <v>81406</v>
      </c>
      <c r="E70" s="196">
        <v>78780</v>
      </c>
      <c r="F70" s="196">
        <v>81406</v>
      </c>
      <c r="G70" s="196">
        <v>78780</v>
      </c>
      <c r="H70" s="196">
        <v>81406</v>
      </c>
      <c r="I70" s="196">
        <v>81406</v>
      </c>
      <c r="J70" s="196">
        <v>73528</v>
      </c>
      <c r="K70" s="196">
        <v>81406</v>
      </c>
      <c r="L70" s="457">
        <v>78090</v>
      </c>
      <c r="M70" s="457">
        <v>80693</v>
      </c>
      <c r="N70" s="457">
        <v>78090</v>
      </c>
      <c r="O70" s="108"/>
      <c r="P70" s="119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19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  <c r="AR70" s="108"/>
      <c r="AS70" s="108"/>
    </row>
    <row r="71" spans="1:45" s="99" customFormat="1">
      <c r="A71" s="7" t="s">
        <v>279</v>
      </c>
      <c r="B71" s="16" t="s">
        <v>48</v>
      </c>
      <c r="C71" s="189">
        <v>4.72</v>
      </c>
      <c r="D71" s="189">
        <v>4.76</v>
      </c>
      <c r="E71" s="189">
        <v>3.61</v>
      </c>
      <c r="F71" s="189">
        <v>3.81</v>
      </c>
      <c r="G71" s="189">
        <v>3.31</v>
      </c>
      <c r="H71" s="189">
        <v>4.26</v>
      </c>
      <c r="I71" s="189">
        <v>4.2300000000000004</v>
      </c>
      <c r="J71" s="189">
        <v>4.29</v>
      </c>
      <c r="K71" s="189">
        <v>3.76</v>
      </c>
      <c r="L71" s="452">
        <v>4.22</v>
      </c>
      <c r="M71" s="452">
        <v>4.3600000000000003</v>
      </c>
      <c r="N71" s="452">
        <v>4.32</v>
      </c>
      <c r="O71" s="16"/>
      <c r="P71" s="7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7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</row>
    <row r="72" spans="1:45" s="112" customFormat="1">
      <c r="A72" s="111" t="s">
        <v>279</v>
      </c>
      <c r="B72" s="32" t="s">
        <v>49</v>
      </c>
      <c r="C72" s="190">
        <f t="shared" ref="C72:N72" si="35">C70*C71</f>
        <v>384141.92</v>
      </c>
      <c r="D72" s="190">
        <f t="shared" si="35"/>
        <v>387492.56</v>
      </c>
      <c r="E72" s="190">
        <f t="shared" si="35"/>
        <v>284395.8</v>
      </c>
      <c r="F72" s="190">
        <f t="shared" si="35"/>
        <v>310156.86</v>
      </c>
      <c r="G72" s="190">
        <f t="shared" si="35"/>
        <v>260761.80000000002</v>
      </c>
      <c r="H72" s="190">
        <f t="shared" si="35"/>
        <v>346789.56</v>
      </c>
      <c r="I72" s="190">
        <f t="shared" si="35"/>
        <v>344347.38000000006</v>
      </c>
      <c r="J72" s="190">
        <f t="shared" si="35"/>
        <v>315435.12</v>
      </c>
      <c r="K72" s="190">
        <f t="shared" si="35"/>
        <v>306086.56</v>
      </c>
      <c r="L72" s="456">
        <f t="shared" si="35"/>
        <v>329539.8</v>
      </c>
      <c r="M72" s="456">
        <f t="shared" si="35"/>
        <v>351821.48000000004</v>
      </c>
      <c r="N72" s="456">
        <f t="shared" si="35"/>
        <v>337348.80000000005</v>
      </c>
      <c r="O72" s="32"/>
      <c r="P72" s="6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6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</row>
    <row r="73" spans="1:45" s="31" customFormat="1">
      <c r="A73" s="111" t="s">
        <v>280</v>
      </c>
      <c r="B73" s="22" t="s">
        <v>47</v>
      </c>
      <c r="C73" s="195">
        <v>187908</v>
      </c>
      <c r="D73" s="195">
        <v>187953</v>
      </c>
      <c r="E73" s="195">
        <v>181890</v>
      </c>
      <c r="F73" s="195">
        <v>187953</v>
      </c>
      <c r="G73" s="195">
        <v>181890</v>
      </c>
      <c r="H73" s="195">
        <v>187953</v>
      </c>
      <c r="I73" s="195">
        <v>187953</v>
      </c>
      <c r="J73" s="195">
        <v>169764</v>
      </c>
      <c r="K73" s="195">
        <v>187953</v>
      </c>
      <c r="L73" s="451">
        <v>180390</v>
      </c>
      <c r="M73" s="451">
        <v>186403</v>
      </c>
      <c r="N73" s="451">
        <v>180390</v>
      </c>
      <c r="O73" s="22">
        <f>SUM(C73:N73)</f>
        <v>2208400</v>
      </c>
      <c r="P73" s="111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111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</row>
    <row r="74" spans="1:45" s="99" customFormat="1">
      <c r="A74" s="7" t="s">
        <v>280</v>
      </c>
      <c r="B74" s="16" t="s">
        <v>48</v>
      </c>
      <c r="C74" s="189">
        <v>4.72</v>
      </c>
      <c r="D74" s="189">
        <v>4.79</v>
      </c>
      <c r="E74" s="189">
        <v>3.64</v>
      </c>
      <c r="F74" s="189">
        <v>3.83</v>
      </c>
      <c r="G74" s="189">
        <v>3.36</v>
      </c>
      <c r="H74" s="189">
        <v>4.3099999999999996</v>
      </c>
      <c r="I74" s="189">
        <v>4.28</v>
      </c>
      <c r="J74" s="189">
        <v>4.37</v>
      </c>
      <c r="K74" s="189">
        <v>3.81</v>
      </c>
      <c r="L74" s="452">
        <v>4.26</v>
      </c>
      <c r="M74" s="452">
        <v>4.4000000000000004</v>
      </c>
      <c r="N74" s="452">
        <v>4.3499999999999996</v>
      </c>
      <c r="O74" s="16">
        <f>O75/O73</f>
        <v>4.1777429813439584</v>
      </c>
      <c r="P74" s="7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7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</row>
    <row r="75" spans="1:45" s="112" customFormat="1">
      <c r="A75" s="111" t="s">
        <v>280</v>
      </c>
      <c r="B75" s="32" t="s">
        <v>49</v>
      </c>
      <c r="C75" s="190">
        <f t="shared" ref="C75:N75" si="36">C73*C74</f>
        <v>886925.76</v>
      </c>
      <c r="D75" s="190">
        <f t="shared" si="36"/>
        <v>900294.87</v>
      </c>
      <c r="E75" s="190">
        <f t="shared" si="36"/>
        <v>662079.6</v>
      </c>
      <c r="F75" s="190">
        <f t="shared" si="36"/>
        <v>719859.99</v>
      </c>
      <c r="G75" s="190">
        <f t="shared" si="36"/>
        <v>611150.4</v>
      </c>
      <c r="H75" s="190">
        <f t="shared" si="36"/>
        <v>810077.42999999993</v>
      </c>
      <c r="I75" s="190">
        <f t="shared" si="36"/>
        <v>804438.84000000008</v>
      </c>
      <c r="J75" s="190">
        <f t="shared" si="36"/>
        <v>741868.68</v>
      </c>
      <c r="K75" s="190">
        <f t="shared" si="36"/>
        <v>716100.93</v>
      </c>
      <c r="L75" s="190">
        <f t="shared" si="36"/>
        <v>768461.39999999991</v>
      </c>
      <c r="M75" s="190">
        <f t="shared" si="36"/>
        <v>820173.20000000007</v>
      </c>
      <c r="N75" s="190">
        <f t="shared" si="36"/>
        <v>784696.49999999988</v>
      </c>
      <c r="O75" s="32">
        <f>SUM(C75:N75)</f>
        <v>9226127.5999999978</v>
      </c>
      <c r="P75" s="6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6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</row>
    <row r="76" spans="1:45" s="31" customFormat="1">
      <c r="A76" s="111" t="s">
        <v>193</v>
      </c>
      <c r="B76" s="22" t="s">
        <v>47</v>
      </c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2">
        <f>SUM(C76:N76)</f>
        <v>0</v>
      </c>
      <c r="P76" s="111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111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</row>
    <row r="77" spans="1:45" s="99" customFormat="1">
      <c r="A77" s="111" t="s">
        <v>193</v>
      </c>
      <c r="B77" s="16" t="s">
        <v>48</v>
      </c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6" t="e">
        <f>O78/O76</f>
        <v>#DIV/0!</v>
      </c>
      <c r="P77" s="7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7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</row>
    <row r="78" spans="1:45" s="112" customFormat="1">
      <c r="A78" s="111" t="s">
        <v>193</v>
      </c>
      <c r="B78" s="32" t="s">
        <v>49</v>
      </c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2">
        <f>SUM(C78:N78)</f>
        <v>0</v>
      </c>
      <c r="P78" s="6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6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</row>
    <row r="79" spans="1:45" s="31" customFormat="1">
      <c r="A79" s="111" t="s">
        <v>252</v>
      </c>
      <c r="B79" s="22" t="s">
        <v>47</v>
      </c>
      <c r="C79" s="28"/>
      <c r="D79" s="28"/>
      <c r="E79" s="107"/>
      <c r="F79" s="28"/>
      <c r="G79" s="28"/>
      <c r="H79" s="28"/>
      <c r="I79" s="28"/>
      <c r="J79" s="28"/>
      <c r="K79" s="28"/>
      <c r="L79" s="28"/>
      <c r="M79" s="28"/>
      <c r="N79" s="28"/>
      <c r="O79" s="22">
        <f>SUM(C79:N79)</f>
        <v>0</v>
      </c>
      <c r="P79" s="111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111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s="112" customFormat="1">
      <c r="A80" s="111" t="s">
        <v>252</v>
      </c>
      <c r="B80" s="16" t="s">
        <v>48</v>
      </c>
      <c r="C80" s="39"/>
      <c r="D80" s="39"/>
      <c r="E80" s="17"/>
      <c r="F80" s="39"/>
      <c r="G80" s="39"/>
      <c r="H80" s="39"/>
      <c r="I80" s="39"/>
      <c r="J80" s="39"/>
      <c r="K80" s="39"/>
      <c r="L80" s="17"/>
      <c r="M80" s="39"/>
      <c r="N80" s="39"/>
      <c r="O80" s="16" t="e">
        <f>O81/O79</f>
        <v>#DIV/0!</v>
      </c>
      <c r="P80" s="6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6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</row>
    <row r="81" spans="1:105" s="112" customFormat="1">
      <c r="A81" s="111" t="s">
        <v>252</v>
      </c>
      <c r="B81" s="32" t="s">
        <v>49</v>
      </c>
      <c r="C81" s="39"/>
      <c r="D81" s="39"/>
      <c r="E81" s="66"/>
      <c r="F81" s="39"/>
      <c r="G81" s="39"/>
      <c r="H81" s="39"/>
      <c r="I81" s="39"/>
      <c r="J81" s="39"/>
      <c r="K81" s="39"/>
      <c r="L81" s="66"/>
      <c r="M81" s="39"/>
      <c r="N81" s="39"/>
      <c r="O81" s="30">
        <f>SUM(C81:N81)</f>
        <v>0</v>
      </c>
      <c r="P81" s="6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6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105">
      <c r="A82" s="33" t="s">
        <v>52</v>
      </c>
      <c r="B82" s="97" t="s">
        <v>47</v>
      </c>
      <c r="C82" s="131">
        <f t="shared" ref="C82:H82" si="37">SUM(C67,C70,C73,C76,C79)</f>
        <v>324771</v>
      </c>
      <c r="D82" s="131">
        <f t="shared" si="37"/>
        <v>324849</v>
      </c>
      <c r="E82" s="131">
        <f t="shared" si="37"/>
        <v>314370</v>
      </c>
      <c r="F82" s="131">
        <f t="shared" si="37"/>
        <v>324849</v>
      </c>
      <c r="G82" s="131">
        <f t="shared" si="37"/>
        <v>314370</v>
      </c>
      <c r="H82" s="131">
        <f t="shared" si="37"/>
        <v>324849</v>
      </c>
      <c r="I82" s="131">
        <f t="shared" ref="I82:N82" si="38">SUM(I67,I70,I73,I76,I79)</f>
        <v>324849</v>
      </c>
      <c r="J82" s="131">
        <f t="shared" si="38"/>
        <v>293412</v>
      </c>
      <c r="K82" s="131">
        <f t="shared" si="38"/>
        <v>324849</v>
      </c>
      <c r="L82" s="131">
        <f t="shared" si="38"/>
        <v>311700</v>
      </c>
      <c r="M82" s="131">
        <f t="shared" si="38"/>
        <v>322090</v>
      </c>
      <c r="N82" s="131">
        <f t="shared" si="38"/>
        <v>311700</v>
      </c>
      <c r="O82" s="22">
        <f>SUM(C82:N82)</f>
        <v>3816658</v>
      </c>
      <c r="P82" s="33"/>
      <c r="Q82" s="97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33"/>
      <c r="AF82" s="97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</row>
    <row r="83" spans="1:105">
      <c r="A83" s="33" t="s">
        <v>52</v>
      </c>
      <c r="B83" s="97" t="s">
        <v>49</v>
      </c>
      <c r="C83" s="201">
        <f t="shared" ref="C83:H83" si="39">SUM(C69,C72,C75,C78,C81)</f>
        <v>1531809.58</v>
      </c>
      <c r="D83" s="201">
        <f t="shared" si="39"/>
        <v>1551364.9300000002</v>
      </c>
      <c r="E83" s="201">
        <f t="shared" si="39"/>
        <v>1140332.3999999999</v>
      </c>
      <c r="F83" s="201">
        <f t="shared" si="39"/>
        <v>1241433.75</v>
      </c>
      <c r="G83" s="201">
        <f t="shared" si="39"/>
        <v>1048048.2000000001</v>
      </c>
      <c r="H83" s="201">
        <f t="shared" si="39"/>
        <v>1392699.49</v>
      </c>
      <c r="I83" s="201">
        <f t="shared" ref="I83:N83" si="40">SUM(I69,I72,I75,I78,I81)</f>
        <v>1380734.4200000002</v>
      </c>
      <c r="J83" s="201">
        <f t="shared" si="40"/>
        <v>1270815</v>
      </c>
      <c r="K83" s="201">
        <f t="shared" si="40"/>
        <v>1230274.99</v>
      </c>
      <c r="L83" s="201">
        <f t="shared" si="40"/>
        <v>1321525.2</v>
      </c>
      <c r="M83" s="201">
        <f t="shared" si="40"/>
        <v>1410118.7000000002</v>
      </c>
      <c r="N83" s="201">
        <f t="shared" si="40"/>
        <v>1350891.2999999998</v>
      </c>
      <c r="O83" s="25">
        <f>SUM(C83:N83)</f>
        <v>15870047.960000001</v>
      </c>
      <c r="P83" s="33"/>
      <c r="Q83" s="97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33"/>
      <c r="AF83" s="97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105">
      <c r="A84" s="33" t="s">
        <v>53</v>
      </c>
      <c r="B84" s="97" t="s">
        <v>48</v>
      </c>
      <c r="C84" s="202">
        <f t="shared" ref="C84:O84" si="41">+C83/C82</f>
        <v>4.716583623537816</v>
      </c>
      <c r="D84" s="202">
        <f t="shared" si="41"/>
        <v>4.7756493940261482</v>
      </c>
      <c r="E84" s="202">
        <f t="shared" si="41"/>
        <v>3.6273575722874316</v>
      </c>
      <c r="F84" s="202">
        <f t="shared" si="41"/>
        <v>3.8215717148582882</v>
      </c>
      <c r="G84" s="202">
        <f t="shared" si="41"/>
        <v>3.3338047523618668</v>
      </c>
      <c r="H84" s="202">
        <f t="shared" si="41"/>
        <v>4.2872211088844354</v>
      </c>
      <c r="I84" s="202">
        <f t="shared" si="41"/>
        <v>4.2503883958392983</v>
      </c>
      <c r="J84" s="202">
        <f t="shared" si="41"/>
        <v>4.3311623246492985</v>
      </c>
      <c r="K84" s="202">
        <f t="shared" si="41"/>
        <v>3.7872211088844354</v>
      </c>
      <c r="L84" s="202">
        <f t="shared" si="41"/>
        <v>4.2397343599615009</v>
      </c>
      <c r="M84" s="202">
        <f t="shared" ref="M84:N84" si="42">+M83/M82</f>
        <v>4.3780269489894135</v>
      </c>
      <c r="N84" s="202">
        <f t="shared" si="42"/>
        <v>4.3339470644850815</v>
      </c>
      <c r="O84" s="122">
        <f t="shared" si="41"/>
        <v>4.158100610534138</v>
      </c>
      <c r="P84" s="33"/>
      <c r="Q84" s="97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33"/>
      <c r="AF84" s="97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</row>
    <row r="85" spans="1:105" s="31" customFormat="1">
      <c r="A85" s="125" t="s">
        <v>68</v>
      </c>
      <c r="B85" s="100" t="s">
        <v>47</v>
      </c>
      <c r="C85" s="28">
        <f t="shared" ref="C85:H85" si="43">SUM(C57,C82)</f>
        <v>1336146</v>
      </c>
      <c r="D85" s="28">
        <f t="shared" si="43"/>
        <v>1336627</v>
      </c>
      <c r="E85" s="28">
        <f t="shared" si="43"/>
        <v>968028</v>
      </c>
      <c r="F85" s="22">
        <f t="shared" si="43"/>
        <v>900151</v>
      </c>
      <c r="G85" s="22">
        <f t="shared" si="43"/>
        <v>1505247</v>
      </c>
      <c r="H85" s="22">
        <f t="shared" si="43"/>
        <v>2064440</v>
      </c>
      <c r="I85" s="22">
        <f t="shared" ref="I85:K86" si="44">SUM(I57,I82)</f>
        <v>2110608</v>
      </c>
      <c r="J85" s="22">
        <f t="shared" si="44"/>
        <v>1328539</v>
      </c>
      <c r="K85" s="22">
        <f t="shared" si="44"/>
        <v>1150398</v>
      </c>
      <c r="L85" s="22">
        <f t="shared" ref="L85:O86" si="45">SUM(L57,L82)</f>
        <v>1116275</v>
      </c>
      <c r="M85" s="22">
        <f t="shared" si="45"/>
        <v>1125489</v>
      </c>
      <c r="N85" s="22">
        <f t="shared" si="45"/>
        <v>903705</v>
      </c>
      <c r="O85" s="22">
        <f t="shared" si="45"/>
        <v>15845653</v>
      </c>
      <c r="P85" s="125"/>
      <c r="Q85" s="100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125"/>
      <c r="AF85" s="100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</row>
    <row r="86" spans="1:105" s="112" customFormat="1">
      <c r="A86" s="123" t="s">
        <v>68</v>
      </c>
      <c r="B86" s="104" t="s">
        <v>49</v>
      </c>
      <c r="C86" s="39">
        <f t="shared" ref="C86:H86" si="46">SUM(C58,C83)</f>
        <v>6153288.0300000003</v>
      </c>
      <c r="D86" s="39">
        <f t="shared" si="46"/>
        <v>6253182.3599999994</v>
      </c>
      <c r="E86" s="39">
        <f t="shared" si="46"/>
        <v>3470258.6999999997</v>
      </c>
      <c r="F86" s="32">
        <f t="shared" si="46"/>
        <v>3421444.3149999999</v>
      </c>
      <c r="G86" s="32">
        <f t="shared" si="46"/>
        <v>5534428.1945640137</v>
      </c>
      <c r="H86" s="32">
        <f t="shared" si="46"/>
        <v>8654568.3717562705</v>
      </c>
      <c r="I86" s="32">
        <f t="shared" si="44"/>
        <v>9026155.3061863203</v>
      </c>
      <c r="J86" s="32">
        <f t="shared" si="44"/>
        <v>5602164.2617101725</v>
      </c>
      <c r="K86" s="32">
        <f t="shared" si="44"/>
        <v>4502184.3591545336</v>
      </c>
      <c r="L86" s="32">
        <f t="shared" si="45"/>
        <v>4597577.0083661936</v>
      </c>
      <c r="M86" s="32">
        <f t="shared" si="45"/>
        <v>4776463.8392313309</v>
      </c>
      <c r="N86" s="32">
        <f t="shared" si="45"/>
        <v>3794963.9233741583</v>
      </c>
      <c r="O86" s="32">
        <f t="shared" si="45"/>
        <v>65786678.669342995</v>
      </c>
      <c r="P86" s="123"/>
      <c r="Q86" s="104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123"/>
      <c r="AF86" s="104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</row>
    <row r="87" spans="1:105" s="99" customFormat="1">
      <c r="A87" s="115" t="s">
        <v>68</v>
      </c>
      <c r="B87" s="98" t="s">
        <v>48</v>
      </c>
      <c r="C87" s="17">
        <f t="shared" ref="C87:O87" si="47">C86/C85</f>
        <v>4.6052512449986756</v>
      </c>
      <c r="D87" s="17">
        <f t="shared" si="47"/>
        <v>4.6783301250086966</v>
      </c>
      <c r="E87" s="17">
        <f t="shared" si="47"/>
        <v>3.584874301156578</v>
      </c>
      <c r="F87" s="16">
        <f t="shared" si="47"/>
        <v>3.8009670766349202</v>
      </c>
      <c r="G87" s="16">
        <f t="shared" si="47"/>
        <v>3.6767574986457463</v>
      </c>
      <c r="H87" s="16">
        <f t="shared" si="47"/>
        <v>4.1922111428553359</v>
      </c>
      <c r="I87" s="16">
        <f t="shared" si="47"/>
        <v>4.2765664236022607</v>
      </c>
      <c r="J87" s="16">
        <f t="shared" si="47"/>
        <v>4.2167857034759031</v>
      </c>
      <c r="K87" s="16">
        <f t="shared" si="47"/>
        <v>3.9135884790781397</v>
      </c>
      <c r="L87" s="16">
        <f t="shared" si="47"/>
        <v>4.1186777526740217</v>
      </c>
      <c r="M87" s="16">
        <f t="shared" ref="M87:N87" si="48">M86/M85</f>
        <v>4.2439009525915674</v>
      </c>
      <c r="N87" s="16">
        <f t="shared" si="48"/>
        <v>4.1993393014027349</v>
      </c>
      <c r="O87" s="16">
        <f t="shared" si="47"/>
        <v>4.1517177404644032</v>
      </c>
      <c r="P87" s="115"/>
      <c r="Q87" s="98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15"/>
      <c r="AF87" s="98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</row>
    <row r="88" spans="1:105" s="99" customFormat="1">
      <c r="A88" s="115" t="s">
        <v>111</v>
      </c>
      <c r="B88" s="98" t="s">
        <v>48</v>
      </c>
      <c r="C88" s="17">
        <f t="shared" ref="C88:O88" si="49">C87/0.95+0.05</f>
        <v>4.8976328894722903</v>
      </c>
      <c r="D88" s="17">
        <f t="shared" si="49"/>
        <v>4.974558026324944</v>
      </c>
      <c r="E88" s="17">
        <f t="shared" si="49"/>
        <v>3.8235518959542927</v>
      </c>
      <c r="F88" s="16">
        <f t="shared" si="49"/>
        <v>4.0510179754051787</v>
      </c>
      <c r="G88" s="16">
        <f t="shared" si="49"/>
        <v>3.9202710512060488</v>
      </c>
      <c r="H88" s="16">
        <f t="shared" si="49"/>
        <v>4.4628538345845641</v>
      </c>
      <c r="I88" s="16">
        <f t="shared" si="49"/>
        <v>4.5516488669497486</v>
      </c>
      <c r="J88" s="16">
        <f t="shared" si="49"/>
        <v>4.4887217931325294</v>
      </c>
      <c r="K88" s="16">
        <f t="shared" si="49"/>
        <v>4.1695668200822524</v>
      </c>
      <c r="L88" s="16">
        <f t="shared" si="49"/>
        <v>4.3854502659726542</v>
      </c>
      <c r="M88" s="16">
        <f t="shared" ref="M88:N88" si="50">M87/0.95+0.05</f>
        <v>4.5172641606227026</v>
      </c>
      <c r="N88" s="16">
        <f t="shared" si="50"/>
        <v>4.4703571593713001</v>
      </c>
      <c r="O88" s="16">
        <f t="shared" si="49"/>
        <v>4.4202292004888459</v>
      </c>
      <c r="P88" s="115"/>
      <c r="Q88" s="98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15"/>
      <c r="AF88" s="98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</row>
    <row r="89" spans="1:105" s="99" customFormat="1">
      <c r="A89" s="115" t="s">
        <v>112</v>
      </c>
      <c r="B89" s="98" t="s">
        <v>107</v>
      </c>
      <c r="C89" s="17">
        <f t="shared" ref="C89:O89" si="51">(C88/1.04)/(1-0.06)</f>
        <v>5.0098536103439963</v>
      </c>
      <c r="D89" s="17">
        <f t="shared" si="51"/>
        <v>5.0885413526237153</v>
      </c>
      <c r="E89" s="17">
        <f t="shared" si="51"/>
        <v>3.9111619230301686</v>
      </c>
      <c r="F89" s="16">
        <f t="shared" si="51"/>
        <v>4.1438399912082433</v>
      </c>
      <c r="G89" s="16">
        <f t="shared" si="51"/>
        <v>4.0100972291387569</v>
      </c>
      <c r="H89" s="16">
        <f t="shared" si="51"/>
        <v>4.5651123512526235</v>
      </c>
      <c r="I89" s="16">
        <f t="shared" si="51"/>
        <v>4.65594196701079</v>
      </c>
      <c r="J89" s="16">
        <f t="shared" si="51"/>
        <v>4.5915730289817205</v>
      </c>
      <c r="K89" s="16">
        <f t="shared" si="51"/>
        <v>4.2651051760252168</v>
      </c>
      <c r="L89" s="16">
        <f t="shared" si="51"/>
        <v>4.4859352147838116</v>
      </c>
      <c r="M89" s="16">
        <f t="shared" ref="M89:N89" si="52">(M88/1.04)/(1-0.06)</f>
        <v>4.6207693950723225</v>
      </c>
      <c r="N89" s="16">
        <f t="shared" si="52"/>
        <v>4.572787601648221</v>
      </c>
      <c r="O89" s="16">
        <f t="shared" si="51"/>
        <v>4.521511047963223</v>
      </c>
      <c r="P89" s="115"/>
      <c r="Q89" s="98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15"/>
      <c r="AF89" s="98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</row>
    <row r="90" spans="1:105">
      <c r="L90" s="24"/>
      <c r="M90" s="24"/>
      <c r="N90" s="24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</row>
    <row r="91" spans="1:105" s="31" customFormat="1">
      <c r="A91" s="125" t="s">
        <v>391</v>
      </c>
      <c r="B91" s="22" t="s">
        <v>47</v>
      </c>
      <c r="C91" s="28">
        <f t="shared" ref="C91:H91" si="53">SUM(C2,C11,C14,C17,C30,C39,C42,C48,C67,C70,C73,C79)</f>
        <v>1445173</v>
      </c>
      <c r="D91" s="28">
        <f t="shared" si="53"/>
        <v>1429744</v>
      </c>
      <c r="E91" s="28">
        <f t="shared" si="53"/>
        <v>998538</v>
      </c>
      <c r="F91" s="28">
        <f t="shared" si="53"/>
        <v>1014963</v>
      </c>
      <c r="G91" s="28">
        <f t="shared" si="53"/>
        <v>613140</v>
      </c>
      <c r="H91" s="28">
        <f t="shared" si="53"/>
        <v>757578</v>
      </c>
      <c r="I91" s="28">
        <f t="shared" ref="I91:N91" si="54">SUM(I2,I11,I14,I17,I30,I39,I42,I48,I67,I70,I73,I79)</f>
        <v>1070622</v>
      </c>
      <c r="J91" s="28">
        <f t="shared" si="54"/>
        <v>828383</v>
      </c>
      <c r="K91" s="28">
        <f>SUM(K2,K11,K14,K17,K30,K39,K42,K48,K67,K70,K73,K79)</f>
        <v>598578</v>
      </c>
      <c r="L91" s="28">
        <f t="shared" si="54"/>
        <v>1140930</v>
      </c>
      <c r="M91" s="28">
        <f t="shared" si="54"/>
        <v>1194461</v>
      </c>
      <c r="N91" s="28">
        <f t="shared" si="54"/>
        <v>1010415</v>
      </c>
      <c r="O91" s="22">
        <f>SUM(C91:N91)</f>
        <v>12102525</v>
      </c>
      <c r="P91" s="125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125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</row>
    <row r="92" spans="1:105">
      <c r="A92" s="125" t="s">
        <v>391</v>
      </c>
      <c r="B92" s="32" t="s">
        <v>49</v>
      </c>
      <c r="C92" s="39">
        <f t="shared" ref="C92:H92" si="55">SUM(C4,C13,C16,C19,C32,C41,C44,C50,C69,C72,C75,C81)</f>
        <v>6665685.79</v>
      </c>
      <c r="D92" s="39">
        <f t="shared" si="55"/>
        <v>6696262.9499999993</v>
      </c>
      <c r="E92" s="39">
        <f t="shared" si="55"/>
        <v>3553308</v>
      </c>
      <c r="F92" s="39">
        <f t="shared" si="55"/>
        <v>3837699.2450000001</v>
      </c>
      <c r="G92" s="39">
        <f t="shared" si="55"/>
        <v>2015481.15</v>
      </c>
      <c r="H92" s="39">
        <f t="shared" si="55"/>
        <v>3162197.625</v>
      </c>
      <c r="I92" s="39">
        <f t="shared" ref="I92:N92" si="56">SUM(I4,I13,I16,I19,I32,I41,I44,I50,I69,I72,I75,I81)</f>
        <v>4533502.2450000001</v>
      </c>
      <c r="J92" s="39">
        <f t="shared" si="56"/>
        <v>3541255.77</v>
      </c>
      <c r="K92" s="39">
        <f t="shared" si="56"/>
        <v>2266963.9194661262</v>
      </c>
      <c r="L92" s="39">
        <f t="shared" si="56"/>
        <v>4738098.1500000004</v>
      </c>
      <c r="M92" s="39">
        <f t="shared" si="56"/>
        <v>5104641.5049999999</v>
      </c>
      <c r="N92" s="39">
        <f t="shared" si="56"/>
        <v>4282579.4233741593</v>
      </c>
      <c r="O92" s="32">
        <f>SUM(C92:N92)</f>
        <v>50397675.772840284</v>
      </c>
      <c r="P92" s="123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123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</row>
    <row r="93" spans="1:105">
      <c r="A93" s="125" t="s">
        <v>391</v>
      </c>
      <c r="B93" s="16" t="s">
        <v>48</v>
      </c>
      <c r="C93" s="17">
        <f t="shared" ref="C93:L93" si="57">C92/C91</f>
        <v>4.612379133847643</v>
      </c>
      <c r="D93" s="17">
        <f t="shared" si="57"/>
        <v>4.6835398155194214</v>
      </c>
      <c r="E93" s="17">
        <f t="shared" si="57"/>
        <v>3.5585105424130079</v>
      </c>
      <c r="F93" s="17">
        <f t="shared" si="57"/>
        <v>3.7811223118478212</v>
      </c>
      <c r="G93" s="17">
        <f t="shared" si="57"/>
        <v>3.287146736471279</v>
      </c>
      <c r="H93" s="17">
        <f t="shared" si="57"/>
        <v>4.1740885096980112</v>
      </c>
      <c r="I93" s="17">
        <f t="shared" si="57"/>
        <v>4.2344564608237079</v>
      </c>
      <c r="J93" s="17">
        <f t="shared" si="57"/>
        <v>4.2749015491626459</v>
      </c>
      <c r="K93" s="17">
        <f t="shared" si="57"/>
        <v>3.7872489791908928</v>
      </c>
      <c r="L93" s="17">
        <f t="shared" si="57"/>
        <v>4.1528386053482684</v>
      </c>
      <c r="M93" s="17">
        <f t="shared" ref="M93:N93" si="58">M92/M91</f>
        <v>4.2735941190210482</v>
      </c>
      <c r="N93" s="17">
        <f t="shared" si="58"/>
        <v>4.2384361112752273</v>
      </c>
      <c r="O93" s="16">
        <f>O92/O91</f>
        <v>4.1642281898066962</v>
      </c>
      <c r="P93" s="115"/>
      <c r="Q93" s="16"/>
      <c r="R93" s="16"/>
      <c r="S93" s="16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6"/>
      <c r="AE93" s="115"/>
      <c r="AF93" s="16"/>
      <c r="AG93" s="16"/>
      <c r="AH93" s="16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6"/>
    </row>
    <row r="94" spans="1:105">
      <c r="A94" s="125" t="s">
        <v>390</v>
      </c>
      <c r="B94" s="16" t="s">
        <v>47</v>
      </c>
      <c r="C94" s="128">
        <f t="shared" ref="C94:H94" si="59">C91/C109</f>
        <v>0.97899975138415352</v>
      </c>
      <c r="D94" s="128">
        <f t="shared" si="59"/>
        <v>0.97877793781798861</v>
      </c>
      <c r="E94" s="128">
        <f t="shared" si="59"/>
        <v>0.90485148676348259</v>
      </c>
      <c r="F94" s="128">
        <f t="shared" si="59"/>
        <v>0.94669846694549431</v>
      </c>
      <c r="G94" s="128">
        <f t="shared" si="59"/>
        <v>0.40411350294315956</v>
      </c>
      <c r="H94" s="128">
        <f t="shared" si="59"/>
        <v>0.29571636011616653</v>
      </c>
      <c r="I94" s="128">
        <f t="shared" ref="I94:O94" si="60">I91/I109</f>
        <v>0.41680273014582736</v>
      </c>
      <c r="J94" s="128">
        <f t="shared" si="60"/>
        <v>0.51013265938277852</v>
      </c>
      <c r="K94" s="128">
        <f t="shared" si="60"/>
        <v>0.51477384722023944</v>
      </c>
      <c r="L94" s="128">
        <f t="shared" si="60"/>
        <v>0.90323831992114978</v>
      </c>
      <c r="M94" s="128">
        <f t="shared" si="60"/>
        <v>0.92395833736216559</v>
      </c>
      <c r="N94" s="128">
        <f t="shared" si="60"/>
        <v>0.93090200522380839</v>
      </c>
      <c r="O94" s="128">
        <f t="shared" si="60"/>
        <v>0.66540184222875209</v>
      </c>
      <c r="P94" s="115"/>
      <c r="Q94" s="16"/>
      <c r="R94" s="16"/>
      <c r="S94" s="16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6"/>
      <c r="AE94" s="115"/>
      <c r="AF94" s="16"/>
      <c r="AG94" s="16"/>
      <c r="AH94" s="16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6"/>
    </row>
    <row r="95" spans="1:105">
      <c r="A95" s="125" t="s">
        <v>54</v>
      </c>
      <c r="B95" s="22" t="s">
        <v>47</v>
      </c>
      <c r="C95" s="28">
        <f t="shared" ref="C95:H95" si="61">SUM(C8,C36,C76)</f>
        <v>31000</v>
      </c>
      <c r="D95" s="28">
        <f t="shared" si="61"/>
        <v>31000</v>
      </c>
      <c r="E95" s="28">
        <f t="shared" si="61"/>
        <v>105000</v>
      </c>
      <c r="F95" s="28">
        <f t="shared" si="61"/>
        <v>31000</v>
      </c>
      <c r="G95" s="28">
        <f t="shared" si="61"/>
        <v>435000</v>
      </c>
      <c r="H95" s="28">
        <f t="shared" si="61"/>
        <v>480500</v>
      </c>
      <c r="I95" s="28">
        <f t="shared" ref="I95:N95" si="62">SUM(I8,I36,I76)</f>
        <v>480500</v>
      </c>
      <c r="J95" s="28">
        <f t="shared" si="62"/>
        <v>434000</v>
      </c>
      <c r="K95" s="28">
        <f t="shared" si="62"/>
        <v>449500</v>
      </c>
      <c r="L95" s="28">
        <f t="shared" si="62"/>
        <v>0</v>
      </c>
      <c r="M95" s="28">
        <f t="shared" si="62"/>
        <v>77500</v>
      </c>
      <c r="N95" s="28">
        <f t="shared" si="62"/>
        <v>75000</v>
      </c>
      <c r="O95" s="22">
        <f>SUM(C95:N95)</f>
        <v>2630000</v>
      </c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</row>
    <row r="96" spans="1:105" s="112" customFormat="1">
      <c r="A96" s="123" t="s">
        <v>54</v>
      </c>
      <c r="B96" s="32" t="s">
        <v>49</v>
      </c>
      <c r="C96" s="39">
        <f t="shared" ref="C96:H96" si="63">SUM(C10,C38,C78)</f>
        <v>168950</v>
      </c>
      <c r="D96" s="39">
        <f t="shared" si="63"/>
        <v>168950</v>
      </c>
      <c r="E96" s="39">
        <f t="shared" si="63"/>
        <v>418500</v>
      </c>
      <c r="F96" s="39">
        <f t="shared" si="63"/>
        <v>168950</v>
      </c>
      <c r="G96" s="39">
        <f t="shared" si="63"/>
        <v>1810650</v>
      </c>
      <c r="H96" s="39">
        <f t="shared" si="63"/>
        <v>1959395</v>
      </c>
      <c r="I96" s="39">
        <f t="shared" ref="I96:N96" si="64">SUM(I10,I38,I78)</f>
        <v>1956395</v>
      </c>
      <c r="J96" s="39">
        <f t="shared" si="64"/>
        <v>1804460</v>
      </c>
      <c r="K96" s="39">
        <f t="shared" si="64"/>
        <v>1826505</v>
      </c>
      <c r="L96" s="39">
        <f t="shared" si="64"/>
        <v>0</v>
      </c>
      <c r="M96" s="39">
        <f t="shared" si="64"/>
        <v>337125.00000000006</v>
      </c>
      <c r="N96" s="39">
        <f t="shared" si="64"/>
        <v>326250.00000000006</v>
      </c>
      <c r="O96" s="32">
        <f>SUM(C96:N96)</f>
        <v>10946130</v>
      </c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9"/>
      <c r="BX96" s="39"/>
      <c r="BY96" s="39"/>
      <c r="BZ96" s="39"/>
      <c r="CA96" s="39"/>
      <c r="CB96" s="39"/>
      <c r="CC96" s="39"/>
      <c r="CD96" s="39"/>
      <c r="CE96" s="39"/>
      <c r="CF96" s="39"/>
      <c r="CG96" s="39"/>
      <c r="CH96" s="39"/>
      <c r="CI96" s="39"/>
      <c r="CJ96" s="39"/>
      <c r="CK96" s="39"/>
      <c r="CL96" s="39"/>
      <c r="CM96" s="39"/>
      <c r="CN96" s="39"/>
      <c r="CO96" s="39"/>
      <c r="CP96" s="39"/>
      <c r="CQ96" s="39"/>
      <c r="CR96" s="39"/>
      <c r="CS96" s="39"/>
      <c r="CT96" s="39"/>
      <c r="CU96" s="39"/>
      <c r="CV96" s="39"/>
      <c r="CW96" s="39"/>
      <c r="CX96" s="39"/>
      <c r="CY96" s="39"/>
      <c r="CZ96" s="39"/>
      <c r="DA96" s="39"/>
    </row>
    <row r="97" spans="1:105">
      <c r="A97" s="125" t="s">
        <v>54</v>
      </c>
      <c r="B97" s="16" t="s">
        <v>48</v>
      </c>
      <c r="C97" s="17">
        <f t="shared" ref="C97:L97" si="65">C96/C95</f>
        <v>5.45</v>
      </c>
      <c r="D97" s="17">
        <f t="shared" si="65"/>
        <v>5.45</v>
      </c>
      <c r="E97" s="17">
        <f t="shared" si="65"/>
        <v>3.9857142857142858</v>
      </c>
      <c r="F97" s="17">
        <f t="shared" si="65"/>
        <v>5.45</v>
      </c>
      <c r="G97" s="17">
        <f t="shared" si="65"/>
        <v>4.1624137931034486</v>
      </c>
      <c r="H97" s="17">
        <f t="shared" si="65"/>
        <v>4.0778251821019769</v>
      </c>
      <c r="I97" s="17">
        <f t="shared" si="65"/>
        <v>4.0715816857440164</v>
      </c>
      <c r="J97" s="17">
        <f t="shared" si="65"/>
        <v>4.1577419354838714</v>
      </c>
      <c r="K97" s="17">
        <f t="shared" si="65"/>
        <v>4.0634149054505002</v>
      </c>
      <c r="L97" s="17" t="e">
        <f t="shared" si="65"/>
        <v>#DIV/0!</v>
      </c>
      <c r="M97" s="17">
        <f t="shared" ref="M97:N97" si="66">M96/M95</f>
        <v>4.3500000000000005</v>
      </c>
      <c r="N97" s="17">
        <f t="shared" si="66"/>
        <v>4.3500000000000005</v>
      </c>
      <c r="O97" s="16">
        <f>O96/O95</f>
        <v>4.162026615969582</v>
      </c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</row>
    <row r="98" spans="1:105">
      <c r="A98" s="125" t="s">
        <v>353</v>
      </c>
      <c r="B98" s="16" t="s">
        <v>47</v>
      </c>
      <c r="C98" s="128">
        <f t="shared" ref="C98:H98" si="67">C95/C109</f>
        <v>2.1000248615846515E-2</v>
      </c>
      <c r="D98" s="128">
        <f t="shared" si="67"/>
        <v>2.1222062182011357E-2</v>
      </c>
      <c r="E98" s="128">
        <f t="shared" si="67"/>
        <v>9.5148513236517462E-2</v>
      </c>
      <c r="F98" s="128">
        <f t="shared" si="67"/>
        <v>2.8914997369667982E-2</v>
      </c>
      <c r="G98" s="128">
        <f t="shared" si="67"/>
        <v>0.28670348334845941</v>
      </c>
      <c r="H98" s="128">
        <f t="shared" si="67"/>
        <v>0.18756050338818975</v>
      </c>
      <c r="I98" s="128">
        <f t="shared" ref="I98:O98" si="68">I95/I109</f>
        <v>0.18706295203635834</v>
      </c>
      <c r="J98" s="128">
        <f t="shared" si="68"/>
        <v>0.26726474851865129</v>
      </c>
      <c r="K98" s="128">
        <f t="shared" si="68"/>
        <v>0.38656757235564559</v>
      </c>
      <c r="L98" s="128">
        <f t="shared" si="68"/>
        <v>0</v>
      </c>
      <c r="M98" s="128">
        <f t="shared" si="68"/>
        <v>5.994902399121263E-2</v>
      </c>
      <c r="N98" s="128">
        <f t="shared" si="68"/>
        <v>6.9097994776191593E-2</v>
      </c>
      <c r="O98" s="128">
        <f t="shared" si="68"/>
        <v>0.14459849040275627</v>
      </c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</row>
    <row r="99" spans="1:105" s="99" customFormat="1">
      <c r="A99" s="126" t="s">
        <v>392</v>
      </c>
      <c r="B99" s="16" t="s">
        <v>47</v>
      </c>
      <c r="C99" s="28"/>
      <c r="D99" s="28"/>
      <c r="E99" s="28"/>
      <c r="F99" s="28">
        <f t="shared" ref="F99:K99" si="69">SUM(F5,F33,F45,F54)</f>
        <v>26145</v>
      </c>
      <c r="G99" s="28">
        <f t="shared" si="69"/>
        <v>469107</v>
      </c>
      <c r="H99" s="28">
        <f t="shared" si="69"/>
        <v>1323762</v>
      </c>
      <c r="I99" s="28">
        <f t="shared" si="69"/>
        <v>1017532</v>
      </c>
      <c r="J99" s="28">
        <f t="shared" si="69"/>
        <v>361475</v>
      </c>
      <c r="K99" s="28">
        <f t="shared" si="69"/>
        <v>114720</v>
      </c>
      <c r="L99" s="28">
        <f>SUM(L5,L33,L45,L54)</f>
        <v>122225</v>
      </c>
      <c r="M99" s="28">
        <f>SUM(M5,M33,M45,M54)</f>
        <v>20804</v>
      </c>
      <c r="N99" s="28">
        <f>SUM(N5,N33,N45,N54)</f>
        <v>0</v>
      </c>
      <c r="O99" s="28">
        <f>SUM(O5,O33,O45)</f>
        <v>3455770</v>
      </c>
      <c r="P99" s="127"/>
      <c r="Q99" s="16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126"/>
      <c r="AF99" s="16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</row>
    <row r="100" spans="1:105" s="99" customFormat="1">
      <c r="A100" s="126" t="s">
        <v>836</v>
      </c>
      <c r="B100" s="16" t="s">
        <v>47</v>
      </c>
      <c r="C100" s="28"/>
      <c r="D100" s="28"/>
      <c r="E100" s="28"/>
      <c r="F100" s="28">
        <f t="shared" ref="F100:K100" si="70">F23</f>
        <v>0</v>
      </c>
      <c r="G100" s="28">
        <f t="shared" si="70"/>
        <v>0</v>
      </c>
      <c r="H100" s="28">
        <f t="shared" si="70"/>
        <v>485000</v>
      </c>
      <c r="I100" s="28">
        <f t="shared" si="70"/>
        <v>229446</v>
      </c>
      <c r="J100" s="28">
        <f t="shared" si="70"/>
        <v>140000</v>
      </c>
      <c r="K100" s="28">
        <f t="shared" si="70"/>
        <v>0</v>
      </c>
      <c r="L100" s="28">
        <f>L23</f>
        <v>0</v>
      </c>
      <c r="M100" s="28">
        <f>M23</f>
        <v>0</v>
      </c>
      <c r="N100" s="28">
        <f>N23</f>
        <v>0</v>
      </c>
      <c r="O100" s="28"/>
      <c r="P100" s="127"/>
      <c r="Q100" s="16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126"/>
      <c r="AF100" s="16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</row>
    <row r="101" spans="1:105" s="103" customFormat="1">
      <c r="A101" s="127" t="s">
        <v>838</v>
      </c>
      <c r="B101" s="124" t="s">
        <v>47</v>
      </c>
      <c r="C101" s="128"/>
      <c r="D101" s="128"/>
      <c r="E101" s="128"/>
      <c r="F101" s="128">
        <f t="shared" ref="F101:K101" si="71">F100/F99</f>
        <v>0</v>
      </c>
      <c r="G101" s="128">
        <f t="shared" si="71"/>
        <v>0</v>
      </c>
      <c r="H101" s="128">
        <f t="shared" si="71"/>
        <v>0.36638005925536465</v>
      </c>
      <c r="I101" s="128">
        <f t="shared" si="71"/>
        <v>0.22549266263861972</v>
      </c>
      <c r="J101" s="128">
        <f t="shared" si="71"/>
        <v>0.3873020264195311</v>
      </c>
      <c r="K101" s="128">
        <f t="shared" si="71"/>
        <v>0</v>
      </c>
      <c r="L101" s="128"/>
      <c r="M101" s="128"/>
      <c r="N101" s="128"/>
      <c r="O101" s="128"/>
      <c r="P101" s="127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7"/>
      <c r="AF101" s="124"/>
      <c r="AG101" s="124"/>
      <c r="AH101" s="124"/>
      <c r="AI101" s="124"/>
      <c r="AJ101" s="124"/>
      <c r="AK101" s="124"/>
      <c r="AL101" s="124"/>
      <c r="AM101" s="124"/>
      <c r="AN101" s="124"/>
      <c r="AO101" s="124"/>
      <c r="AP101" s="124"/>
      <c r="AQ101" s="124"/>
      <c r="AR101" s="124"/>
      <c r="AS101" s="124"/>
    </row>
    <row r="102" spans="1:105" s="99" customFormat="1">
      <c r="A102" s="126" t="s">
        <v>837</v>
      </c>
      <c r="B102" s="16" t="s">
        <v>47</v>
      </c>
      <c r="C102" s="28"/>
      <c r="D102" s="28"/>
      <c r="E102" s="28"/>
      <c r="F102" s="28">
        <f t="shared" ref="F102:K102" si="72">F60</f>
        <v>26145</v>
      </c>
      <c r="G102" s="28">
        <f t="shared" si="72"/>
        <v>469107</v>
      </c>
      <c r="H102" s="28">
        <f t="shared" si="72"/>
        <v>838762</v>
      </c>
      <c r="I102" s="28">
        <f t="shared" si="72"/>
        <v>788086</v>
      </c>
      <c r="J102" s="28">
        <f t="shared" si="72"/>
        <v>221475</v>
      </c>
      <c r="K102" s="28">
        <f t="shared" si="72"/>
        <v>114720</v>
      </c>
      <c r="L102" s="28">
        <f>L60</f>
        <v>122225</v>
      </c>
      <c r="M102" s="28">
        <f>M60</f>
        <v>20804</v>
      </c>
      <c r="N102" s="28">
        <f>N60</f>
        <v>0</v>
      </c>
      <c r="O102" s="28"/>
      <c r="P102" s="127"/>
      <c r="Q102" s="16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126"/>
      <c r="AF102" s="16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</row>
    <row r="103" spans="1:105" s="99" customFormat="1">
      <c r="A103" s="126" t="s">
        <v>839</v>
      </c>
      <c r="B103" s="16" t="s">
        <v>47</v>
      </c>
      <c r="C103" s="128"/>
      <c r="D103" s="128"/>
      <c r="E103" s="128"/>
      <c r="F103" s="128">
        <f t="shared" ref="F103:K103" si="73">F102/F99</f>
        <v>1</v>
      </c>
      <c r="G103" s="128">
        <f t="shared" si="73"/>
        <v>1</v>
      </c>
      <c r="H103" s="128">
        <f t="shared" si="73"/>
        <v>0.63361994074463535</v>
      </c>
      <c r="I103" s="128">
        <f t="shared" si="73"/>
        <v>0.77450733736138033</v>
      </c>
      <c r="J103" s="128">
        <f t="shared" si="73"/>
        <v>0.61269797358046896</v>
      </c>
      <c r="K103" s="128">
        <f t="shared" si="73"/>
        <v>1</v>
      </c>
      <c r="L103" s="128"/>
      <c r="M103" s="128"/>
      <c r="N103" s="128"/>
      <c r="O103" s="28"/>
      <c r="P103" s="127"/>
      <c r="Q103" s="16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126"/>
      <c r="AF103" s="16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105" s="112" customFormat="1">
      <c r="A104" s="5" t="s">
        <v>392</v>
      </c>
      <c r="B104" s="32" t="s">
        <v>49</v>
      </c>
      <c r="C104" s="39"/>
      <c r="D104" s="39"/>
      <c r="E104" s="39"/>
      <c r="F104" s="39">
        <f t="shared" ref="F104:N104" si="74">SUM(F7,F35,F47,F56)</f>
        <v>87507.47</v>
      </c>
      <c r="G104" s="39">
        <f t="shared" si="74"/>
        <v>1748029.0445640134</v>
      </c>
      <c r="H104" s="39">
        <f t="shared" si="74"/>
        <v>5835187.1467562709</v>
      </c>
      <c r="I104" s="39">
        <f t="shared" si="74"/>
        <v>4652171.3111863192</v>
      </c>
      <c r="J104" s="39">
        <f t="shared" si="74"/>
        <v>1595573.4817101732</v>
      </c>
      <c r="K104" s="39">
        <f t="shared" si="74"/>
        <v>455351.83968840761</v>
      </c>
      <c r="L104" s="39">
        <f t="shared" si="74"/>
        <v>513072.05836619326</v>
      </c>
      <c r="M104" s="39">
        <f t="shared" si="74"/>
        <v>96580.614231330663</v>
      </c>
      <c r="N104" s="39">
        <f t="shared" si="74"/>
        <v>0</v>
      </c>
      <c r="O104" s="32">
        <f>SUM(C104:N104)</f>
        <v>14983472.966502707</v>
      </c>
      <c r="P104" s="5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5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</row>
    <row r="105" spans="1:105" s="99" customFormat="1">
      <c r="A105" s="126" t="s">
        <v>392</v>
      </c>
      <c r="B105" s="16" t="s">
        <v>48</v>
      </c>
      <c r="C105" s="17"/>
      <c r="D105" s="303"/>
      <c r="E105" s="17"/>
      <c r="F105" s="17">
        <f t="shared" ref="F105:M105" si="75">F104/F99</f>
        <v>3.347005928475808</v>
      </c>
      <c r="G105" s="17">
        <f t="shared" si="75"/>
        <v>3.7262906854172146</v>
      </c>
      <c r="H105" s="17">
        <f t="shared" si="75"/>
        <v>4.4080334280303184</v>
      </c>
      <c r="I105" s="17">
        <f t="shared" si="75"/>
        <v>4.5720147486136256</v>
      </c>
      <c r="J105" s="17">
        <f t="shared" si="75"/>
        <v>4.4140631626258333</v>
      </c>
      <c r="K105" s="17">
        <f t="shared" si="75"/>
        <v>3.9692454645084343</v>
      </c>
      <c r="L105" s="17">
        <f t="shared" si="75"/>
        <v>4.1977668919304012</v>
      </c>
      <c r="M105" s="17">
        <f t="shared" si="75"/>
        <v>4.6424059907388324</v>
      </c>
      <c r="N105" s="17"/>
      <c r="O105" s="16"/>
      <c r="P105" s="12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2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</row>
    <row r="106" spans="1:105">
      <c r="A106" s="5" t="s">
        <v>596</v>
      </c>
      <c r="C106" s="128"/>
      <c r="D106" s="128"/>
      <c r="E106" s="128"/>
      <c r="F106" s="128">
        <f t="shared" ref="F106:K106" si="76">F99/F109</f>
        <v>2.4386535684837722E-2</v>
      </c>
      <c r="G106" s="128">
        <f t="shared" si="76"/>
        <v>0.30918301370838103</v>
      </c>
      <c r="H106" s="128">
        <f t="shared" si="76"/>
        <v>0.51672313649564372</v>
      </c>
      <c r="I106" s="128">
        <f t="shared" si="76"/>
        <v>0.39613431781781433</v>
      </c>
      <c r="J106" s="128">
        <f t="shared" si="76"/>
        <v>0.2226025920985702</v>
      </c>
      <c r="K106" s="128">
        <f t="shared" si="76"/>
        <v>9.8658580424114933E-2</v>
      </c>
      <c r="L106" s="128">
        <f>L99/L109</f>
        <v>9.6761680078850179E-2</v>
      </c>
      <c r="M106" s="128">
        <f>M99/M109</f>
        <v>1.6092638646621776E-2</v>
      </c>
      <c r="N106" s="128">
        <f>N99/N109</f>
        <v>0</v>
      </c>
      <c r="O106" s="128">
        <f>O99/O109</f>
        <v>0.18999966736849166</v>
      </c>
      <c r="P106" s="33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0"/>
      <c r="AE106" s="33"/>
      <c r="AG106" s="124"/>
      <c r="AH106" s="124"/>
      <c r="AI106" s="124"/>
      <c r="AJ106" s="124"/>
      <c r="AK106" s="124"/>
      <c r="AL106" s="124"/>
      <c r="AM106" s="124"/>
      <c r="AN106" s="124"/>
      <c r="AO106" s="124"/>
      <c r="AP106" s="124"/>
      <c r="AQ106" s="124"/>
      <c r="AR106" s="124"/>
      <c r="AS106" s="10"/>
    </row>
    <row r="107" spans="1:105">
      <c r="A107" s="125" t="s">
        <v>620</v>
      </c>
      <c r="B107" s="16" t="s">
        <v>48</v>
      </c>
      <c r="C107" s="229"/>
      <c r="D107" s="128"/>
      <c r="E107" s="229"/>
      <c r="F107" s="229">
        <f t="shared" ref="F107:K107" si="77">F105-F93</f>
        <v>-0.43411638337201319</v>
      </c>
      <c r="G107" s="229">
        <f t="shared" si="77"/>
        <v>0.43914394894593567</v>
      </c>
      <c r="H107" s="229">
        <f t="shared" si="77"/>
        <v>0.23394491833230724</v>
      </c>
      <c r="I107" s="229">
        <f t="shared" si="77"/>
        <v>0.3375582877899177</v>
      </c>
      <c r="J107" s="229">
        <f t="shared" si="77"/>
        <v>0.13916161346318745</v>
      </c>
      <c r="K107" s="229">
        <f t="shared" si="77"/>
        <v>0.18199648531754153</v>
      </c>
      <c r="L107" s="229">
        <f t="shared" ref="L107:M107" si="78">L105-L93</f>
        <v>4.492828658213277E-2</v>
      </c>
      <c r="M107" s="229">
        <f t="shared" si="78"/>
        <v>0.36881187171778418</v>
      </c>
      <c r="N107" s="229"/>
      <c r="O107" s="16"/>
      <c r="P107" s="115"/>
      <c r="Q107" s="16"/>
      <c r="R107" s="16"/>
      <c r="S107" s="16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6"/>
      <c r="AE107" s="115"/>
      <c r="AF107" s="16"/>
      <c r="AG107" s="16"/>
      <c r="AH107" s="16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6"/>
    </row>
    <row r="108" spans="1:105">
      <c r="A108" s="125" t="s">
        <v>621</v>
      </c>
      <c r="B108" s="16" t="s">
        <v>49</v>
      </c>
      <c r="C108" s="66"/>
      <c r="D108" s="128"/>
      <c r="E108" s="66"/>
      <c r="F108" s="66">
        <f t="shared" ref="F108:K108" si="79">F99*F107</f>
        <v>-11349.972843261285</v>
      </c>
      <c r="G108" s="66">
        <f t="shared" si="79"/>
        <v>206005.50045818105</v>
      </c>
      <c r="H108" s="66">
        <f t="shared" si="79"/>
        <v>309687.39298141171</v>
      </c>
      <c r="I108" s="66">
        <f t="shared" si="79"/>
        <v>343476.35969145055</v>
      </c>
      <c r="J108" s="66">
        <f t="shared" si="79"/>
        <v>50303.444226605687</v>
      </c>
      <c r="K108" s="66">
        <f t="shared" si="79"/>
        <v>20878.636795628365</v>
      </c>
      <c r="L108" s="66">
        <f t="shared" ref="L108:M108" si="80">L99*L107</f>
        <v>5491.3598275011782</v>
      </c>
      <c r="M108" s="66">
        <f t="shared" si="80"/>
        <v>7672.762179216782</v>
      </c>
      <c r="N108" s="66"/>
      <c r="O108" s="32">
        <f>SUM(C108:N108)</f>
        <v>932165.48331673408</v>
      </c>
      <c r="P108" s="115"/>
      <c r="Q108" s="16"/>
      <c r="R108" s="16"/>
      <c r="S108" s="16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6"/>
      <c r="AE108" s="115"/>
      <c r="AF108" s="16"/>
      <c r="AG108" s="16"/>
      <c r="AH108" s="16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6"/>
    </row>
    <row r="109" spans="1:105">
      <c r="A109" s="2" t="s">
        <v>265</v>
      </c>
      <c r="B109" s="10" t="s">
        <v>47</v>
      </c>
      <c r="C109" s="28">
        <f t="shared" ref="C109:H109" si="81">SUM(C91,C95,C99)</f>
        <v>1476173</v>
      </c>
      <c r="D109" s="28">
        <f t="shared" si="81"/>
        <v>1460744</v>
      </c>
      <c r="E109" s="28">
        <f t="shared" si="81"/>
        <v>1103538</v>
      </c>
      <c r="F109" s="28">
        <f t="shared" si="81"/>
        <v>1072108</v>
      </c>
      <c r="G109" s="28">
        <f t="shared" si="81"/>
        <v>1517247</v>
      </c>
      <c r="H109" s="28">
        <f t="shared" si="81"/>
        <v>2561840</v>
      </c>
      <c r="I109" s="28">
        <f t="shared" ref="I109:N109" si="82">SUM(I91,I95,I99)</f>
        <v>2568654</v>
      </c>
      <c r="J109" s="28">
        <f t="shared" si="82"/>
        <v>1623858</v>
      </c>
      <c r="K109" s="28">
        <f t="shared" si="82"/>
        <v>1162798</v>
      </c>
      <c r="L109" s="28">
        <f t="shared" si="82"/>
        <v>1263155</v>
      </c>
      <c r="M109" s="28">
        <f t="shared" si="82"/>
        <v>1292765</v>
      </c>
      <c r="N109" s="28">
        <f t="shared" si="82"/>
        <v>1085415</v>
      </c>
      <c r="O109" s="22">
        <f>SUM(C109:N109)</f>
        <v>18188295</v>
      </c>
      <c r="P109" s="2"/>
      <c r="Q109" s="10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"/>
      <c r="AF109" s="10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</row>
    <row r="110" spans="1:105" s="112" customFormat="1">
      <c r="A110" s="2" t="s">
        <v>265</v>
      </c>
      <c r="B110" s="32" t="s">
        <v>49</v>
      </c>
      <c r="C110" s="39">
        <f t="shared" ref="C110:H110" si="83">SUM(C92,C96,C104)</f>
        <v>6834635.79</v>
      </c>
      <c r="D110" s="39">
        <f t="shared" si="83"/>
        <v>6865212.9499999993</v>
      </c>
      <c r="E110" s="39">
        <f t="shared" si="83"/>
        <v>3971808</v>
      </c>
      <c r="F110" s="39">
        <f t="shared" si="83"/>
        <v>4094156.7150000003</v>
      </c>
      <c r="G110" s="39">
        <f t="shared" si="83"/>
        <v>5574160.1945640128</v>
      </c>
      <c r="H110" s="39">
        <f t="shared" si="83"/>
        <v>10956779.771756271</v>
      </c>
      <c r="I110" s="39">
        <f t="shared" ref="I110:N110" si="84">SUM(I92,I96,I104)</f>
        <v>11142068.556186318</v>
      </c>
      <c r="J110" s="39">
        <f t="shared" si="84"/>
        <v>6941289.2517101727</v>
      </c>
      <c r="K110" s="39">
        <f t="shared" si="84"/>
        <v>4548820.759154534</v>
      </c>
      <c r="L110" s="39">
        <f t="shared" si="84"/>
        <v>5251170.2083661938</v>
      </c>
      <c r="M110" s="39">
        <f t="shared" si="84"/>
        <v>5538347.1192313302</v>
      </c>
      <c r="N110" s="39">
        <f t="shared" si="84"/>
        <v>4608829.4233741593</v>
      </c>
      <c r="O110" s="32">
        <f>SUM(C110:N110)</f>
        <v>76327278.739342988</v>
      </c>
      <c r="P110" s="5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5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</row>
    <row r="111" spans="1:105">
      <c r="A111" s="2" t="s">
        <v>265</v>
      </c>
      <c r="B111" s="10" t="s">
        <v>48</v>
      </c>
      <c r="C111" s="17">
        <f t="shared" ref="C111:L111" si="85">C110/C109</f>
        <v>4.6299693802826631</v>
      </c>
      <c r="D111" s="17">
        <f t="shared" si="85"/>
        <v>4.6998056812145039</v>
      </c>
      <c r="E111" s="17">
        <f t="shared" si="85"/>
        <v>3.5991583434371992</v>
      </c>
      <c r="F111" s="17">
        <f t="shared" si="85"/>
        <v>3.818791311136565</v>
      </c>
      <c r="G111" s="17">
        <f t="shared" si="85"/>
        <v>3.6738647000547786</v>
      </c>
      <c r="H111" s="17">
        <f t="shared" si="85"/>
        <v>4.2769180634841639</v>
      </c>
      <c r="I111" s="17">
        <f t="shared" si="85"/>
        <v>4.3377070466424508</v>
      </c>
      <c r="J111" s="17">
        <f t="shared" si="85"/>
        <v>4.27456665035377</v>
      </c>
      <c r="K111" s="17">
        <f t="shared" si="85"/>
        <v>3.9119612857560249</v>
      </c>
      <c r="L111" s="17">
        <f t="shared" si="85"/>
        <v>4.1571859418410204</v>
      </c>
      <c r="M111" s="17">
        <f t="shared" ref="M111:N111" si="86">M110/M109</f>
        <v>4.2841097331930635</v>
      </c>
      <c r="N111" s="17">
        <f t="shared" si="86"/>
        <v>4.2461449522755439</v>
      </c>
      <c r="O111" s="16">
        <f>O110/O109</f>
        <v>4.1965054305168783</v>
      </c>
      <c r="P111" s="2"/>
      <c r="Q111" s="10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22"/>
      <c r="AE111" s="2"/>
      <c r="AF111" s="10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22"/>
    </row>
    <row r="112" spans="1:105" s="31" customFormat="1">
      <c r="A112" s="3" t="s">
        <v>266</v>
      </c>
      <c r="B112" s="22" t="s">
        <v>47</v>
      </c>
      <c r="C112" s="28">
        <f t="shared" ref="C112:H113" si="87">C109</f>
        <v>1476173</v>
      </c>
      <c r="D112" s="28">
        <f>C112+D109</f>
        <v>2936917</v>
      </c>
      <c r="E112" s="28">
        <f>D112+E109</f>
        <v>4040455</v>
      </c>
      <c r="F112" s="28">
        <f t="shared" si="87"/>
        <v>1072108</v>
      </c>
      <c r="G112" s="28">
        <f t="shared" si="87"/>
        <v>1517247</v>
      </c>
      <c r="H112" s="28">
        <f t="shared" si="87"/>
        <v>2561840</v>
      </c>
      <c r="I112" s="28">
        <f t="shared" ref="I112:K113" si="88">I109</f>
        <v>2568654</v>
      </c>
      <c r="J112" s="28">
        <f t="shared" si="88"/>
        <v>1623858</v>
      </c>
      <c r="K112" s="28">
        <f t="shared" si="88"/>
        <v>1162798</v>
      </c>
      <c r="L112" s="28">
        <f t="shared" ref="L112:N113" si="89">L109</f>
        <v>1263155</v>
      </c>
      <c r="M112" s="28">
        <f t="shared" si="89"/>
        <v>1292765</v>
      </c>
      <c r="N112" s="28">
        <f t="shared" si="89"/>
        <v>1085415</v>
      </c>
      <c r="O112" s="22"/>
      <c r="P112" s="3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3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</row>
    <row r="113" spans="1:45" s="112" customFormat="1">
      <c r="A113" s="5" t="s">
        <v>266</v>
      </c>
      <c r="B113" s="32" t="s">
        <v>49</v>
      </c>
      <c r="C113" s="39">
        <f t="shared" si="87"/>
        <v>6834635.79</v>
      </c>
      <c r="D113" s="39">
        <f>C113+D110</f>
        <v>13699848.739999998</v>
      </c>
      <c r="E113" s="39">
        <f>D113+E110</f>
        <v>17671656.739999998</v>
      </c>
      <c r="F113" s="39">
        <f t="shared" si="87"/>
        <v>4094156.7150000003</v>
      </c>
      <c r="G113" s="39">
        <f t="shared" si="87"/>
        <v>5574160.1945640128</v>
      </c>
      <c r="H113" s="39">
        <f t="shared" si="87"/>
        <v>10956779.771756271</v>
      </c>
      <c r="I113" s="39">
        <f t="shared" si="88"/>
        <v>11142068.556186318</v>
      </c>
      <c r="J113" s="39">
        <f t="shared" si="88"/>
        <v>6941289.2517101727</v>
      </c>
      <c r="K113" s="39">
        <f t="shared" si="88"/>
        <v>4548820.759154534</v>
      </c>
      <c r="L113" s="39">
        <f t="shared" si="89"/>
        <v>5251170.2083661938</v>
      </c>
      <c r="M113" s="39">
        <f t="shared" si="89"/>
        <v>5538347.1192313302</v>
      </c>
      <c r="N113" s="39">
        <f t="shared" si="89"/>
        <v>4608829.4233741593</v>
      </c>
      <c r="O113" s="32"/>
      <c r="P113" s="5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5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</row>
    <row r="114" spans="1:45">
      <c r="A114" s="3" t="s">
        <v>266</v>
      </c>
      <c r="B114" s="10" t="s">
        <v>48</v>
      </c>
      <c r="C114" s="17">
        <f t="shared" ref="C114:L114" si="90">C113/C112</f>
        <v>4.6299693802826631</v>
      </c>
      <c r="D114" s="17">
        <f t="shared" si="90"/>
        <v>4.6647040893562872</v>
      </c>
      <c r="E114" s="17">
        <f t="shared" si="90"/>
        <v>4.3736798801125119</v>
      </c>
      <c r="F114" s="17">
        <f t="shared" si="90"/>
        <v>3.818791311136565</v>
      </c>
      <c r="G114" s="17">
        <f t="shared" si="90"/>
        <v>3.6738647000547786</v>
      </c>
      <c r="H114" s="17">
        <f t="shared" si="90"/>
        <v>4.2769180634841639</v>
      </c>
      <c r="I114" s="17">
        <f t="shared" si="90"/>
        <v>4.3377070466424508</v>
      </c>
      <c r="J114" s="17">
        <f t="shared" si="90"/>
        <v>4.27456665035377</v>
      </c>
      <c r="K114" s="17">
        <f t="shared" si="90"/>
        <v>3.9119612857560249</v>
      </c>
      <c r="L114" s="17">
        <f t="shared" si="90"/>
        <v>4.1571859418410204</v>
      </c>
      <c r="M114" s="17">
        <f t="shared" ref="M114:N114" si="91">M113/M112</f>
        <v>4.2841097331930635</v>
      </c>
      <c r="N114" s="17">
        <f t="shared" si="91"/>
        <v>4.2461449522755439</v>
      </c>
      <c r="O114" s="16"/>
      <c r="P114" s="2"/>
      <c r="Q114" s="10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2"/>
      <c r="AE114" s="2"/>
      <c r="AF114" s="10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22"/>
    </row>
    <row r="115" spans="1:45">
      <c r="A115" s="3"/>
      <c r="B115" s="10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6"/>
      <c r="P115" s="2"/>
      <c r="Q115" s="10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22"/>
      <c r="AE115" s="2"/>
      <c r="AF115" s="10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22"/>
    </row>
    <row r="116" spans="1:45">
      <c r="A116" s="3" t="s">
        <v>891</v>
      </c>
      <c r="B116" s="22" t="s">
        <v>47</v>
      </c>
      <c r="C116" s="28">
        <f>SUM(C67)</f>
        <v>55477</v>
      </c>
      <c r="D116" s="28">
        <f t="shared" ref="D116:L116" si="92">SUM(D67)</f>
        <v>55490</v>
      </c>
      <c r="E116" s="28">
        <f t="shared" si="92"/>
        <v>53700</v>
      </c>
      <c r="F116" s="28">
        <f t="shared" si="92"/>
        <v>55490</v>
      </c>
      <c r="G116" s="28">
        <f t="shared" si="92"/>
        <v>53700</v>
      </c>
      <c r="H116" s="28">
        <f t="shared" si="92"/>
        <v>55490</v>
      </c>
      <c r="I116" s="28">
        <f t="shared" si="92"/>
        <v>55490</v>
      </c>
      <c r="J116" s="28">
        <f t="shared" si="92"/>
        <v>50120</v>
      </c>
      <c r="K116" s="28">
        <f>SUM(K67)</f>
        <v>55490</v>
      </c>
      <c r="L116" s="28">
        <f t="shared" si="92"/>
        <v>53220</v>
      </c>
      <c r="M116" s="28">
        <f t="shared" ref="M116:N116" si="93">SUM(M67)</f>
        <v>54994</v>
      </c>
      <c r="N116" s="28">
        <f t="shared" si="93"/>
        <v>53220</v>
      </c>
      <c r="O116" s="22">
        <f>SUM(C116:N116)</f>
        <v>651881</v>
      </c>
      <c r="P116" s="124">
        <f>O116/O119</f>
        <v>3.5840687651041508E-2</v>
      </c>
      <c r="Q116" s="10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22"/>
      <c r="AE116" s="2"/>
      <c r="AF116" s="10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22"/>
    </row>
    <row r="117" spans="1:45">
      <c r="A117" s="3" t="s">
        <v>892</v>
      </c>
      <c r="B117" s="10" t="s">
        <v>47</v>
      </c>
      <c r="C117" s="28">
        <f t="shared" ref="C117:L117" si="94">SUM(C14,C17,C57,C70,C73,C76)</f>
        <v>1293069</v>
      </c>
      <c r="D117" s="28">
        <f t="shared" si="94"/>
        <v>1293537</v>
      </c>
      <c r="E117" s="28">
        <f t="shared" si="94"/>
        <v>926328</v>
      </c>
      <c r="F117" s="28">
        <f t="shared" si="94"/>
        <v>857061</v>
      </c>
      <c r="G117" s="28">
        <f t="shared" si="94"/>
        <v>1463547</v>
      </c>
      <c r="H117" s="28">
        <f t="shared" si="94"/>
        <v>2021350</v>
      </c>
      <c r="I117" s="28">
        <f t="shared" si="94"/>
        <v>2066718</v>
      </c>
      <c r="J117" s="28">
        <f t="shared" si="94"/>
        <v>1289619</v>
      </c>
      <c r="K117" s="28">
        <f t="shared" si="94"/>
        <v>1107308</v>
      </c>
      <c r="L117" s="28">
        <f t="shared" si="94"/>
        <v>1074935</v>
      </c>
      <c r="M117" s="28">
        <f t="shared" ref="M117:N117" si="95">SUM(M14,M17,M57,M70,M73,M76)</f>
        <v>1082771</v>
      </c>
      <c r="N117" s="28">
        <f t="shared" si="95"/>
        <v>862365</v>
      </c>
      <c r="O117" s="22">
        <f>SUM(C117:N117)</f>
        <v>15338608</v>
      </c>
      <c r="P117" s="124">
        <f>O117/O119</f>
        <v>0.84332302725461628</v>
      </c>
      <c r="Q117" s="10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22"/>
      <c r="AE117" s="2"/>
      <c r="AF117" s="10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22"/>
    </row>
    <row r="118" spans="1:45">
      <c r="A118" s="3" t="s">
        <v>480</v>
      </c>
      <c r="B118" s="22" t="s">
        <v>47</v>
      </c>
      <c r="C118" s="28">
        <f>SUM(C2,C5,C11)</f>
        <v>127627</v>
      </c>
      <c r="D118" s="28">
        <f>SUM(D2,D5,D8,D11)</f>
        <v>111717</v>
      </c>
      <c r="E118" s="28">
        <f t="shared" ref="E118:J118" si="96">SUM(E2,E5,E8,E11)</f>
        <v>123510</v>
      </c>
      <c r="F118" s="28">
        <f t="shared" si="96"/>
        <v>159557</v>
      </c>
      <c r="G118" s="28">
        <f t="shared" si="96"/>
        <v>0</v>
      </c>
      <c r="H118" s="28">
        <f t="shared" si="96"/>
        <v>485000</v>
      </c>
      <c r="I118" s="28">
        <f t="shared" si="96"/>
        <v>446446</v>
      </c>
      <c r="J118" s="28">
        <f t="shared" si="96"/>
        <v>284119</v>
      </c>
      <c r="K118" s="28">
        <f>SUM(K2,K5,K8,K11)</f>
        <v>0</v>
      </c>
      <c r="L118" s="28">
        <f>SUM(L2,L5,L11)</f>
        <v>135000</v>
      </c>
      <c r="M118" s="28">
        <f>SUM(M2,M5,M11)</f>
        <v>155000</v>
      </c>
      <c r="N118" s="28">
        <f>SUM(N2,N5,N11)</f>
        <v>169830</v>
      </c>
      <c r="O118" s="22">
        <f>SUM(C118:N118)</f>
        <v>2197806</v>
      </c>
      <c r="P118" s="124">
        <f>O118/O119</f>
        <v>0.12083628509434227</v>
      </c>
      <c r="Q118" s="10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22"/>
      <c r="AE118" s="2"/>
      <c r="AF118" s="10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22"/>
    </row>
    <row r="119" spans="1:45">
      <c r="A119" s="3" t="s">
        <v>0</v>
      </c>
      <c r="B119" s="10" t="s">
        <v>47</v>
      </c>
      <c r="C119" s="28">
        <f>SUM(C116:C118)</f>
        <v>1476173</v>
      </c>
      <c r="D119" s="28">
        <f t="shared" ref="D119:L119" si="97">SUM(D116:D118)</f>
        <v>1460744</v>
      </c>
      <c r="E119" s="28">
        <f t="shared" si="97"/>
        <v>1103538</v>
      </c>
      <c r="F119" s="28">
        <f t="shared" si="97"/>
        <v>1072108</v>
      </c>
      <c r="G119" s="28">
        <f t="shared" si="97"/>
        <v>1517247</v>
      </c>
      <c r="H119" s="28">
        <f t="shared" si="97"/>
        <v>2561840</v>
      </c>
      <c r="I119" s="28">
        <f t="shared" si="97"/>
        <v>2568654</v>
      </c>
      <c r="J119" s="28">
        <f t="shared" si="97"/>
        <v>1623858</v>
      </c>
      <c r="K119" s="28">
        <f t="shared" si="97"/>
        <v>1162798</v>
      </c>
      <c r="L119" s="28">
        <f t="shared" si="97"/>
        <v>1263155</v>
      </c>
      <c r="M119" s="28">
        <f t="shared" ref="M119:N119" si="98">SUM(M116:M118)</f>
        <v>1292765</v>
      </c>
      <c r="N119" s="28">
        <f t="shared" si="98"/>
        <v>1085415</v>
      </c>
      <c r="O119" s="22">
        <f>SUM(C119:N119)</f>
        <v>18188295</v>
      </c>
      <c r="P119" s="2"/>
      <c r="Q119" s="10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22"/>
      <c r="AE119" s="2"/>
      <c r="AF119" s="10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22"/>
    </row>
    <row r="120" spans="1:45">
      <c r="A120" s="3"/>
      <c r="B120" s="10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6"/>
      <c r="P120" s="2"/>
      <c r="Q120" s="10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22"/>
      <c r="AE120" s="2"/>
      <c r="AF120" s="10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22"/>
    </row>
    <row r="121" spans="1:45" s="31" customFormat="1">
      <c r="A121" s="33" t="s">
        <v>383</v>
      </c>
      <c r="C121" s="128">
        <f t="shared" ref="C121:H121" si="99">C20/C109</f>
        <v>9.485812299777871E-2</v>
      </c>
      <c r="D121" s="128">
        <f t="shared" si="99"/>
        <v>8.4968344898216253E-2</v>
      </c>
      <c r="E121" s="128">
        <f t="shared" si="99"/>
        <v>0.12279595265409982</v>
      </c>
      <c r="F121" s="128">
        <f t="shared" si="99"/>
        <v>0.16039149040954828</v>
      </c>
      <c r="G121" s="128">
        <f t="shared" si="99"/>
        <v>7.9090616096126731E-3</v>
      </c>
      <c r="H121" s="128">
        <f t="shared" si="99"/>
        <v>0.19415732442307093</v>
      </c>
      <c r="I121" s="128">
        <f t="shared" ref="I121:O121" si="100">I20/I109</f>
        <v>0.17832140880009531</v>
      </c>
      <c r="J121" s="128">
        <f t="shared" si="100"/>
        <v>0.18186257665386998</v>
      </c>
      <c r="K121" s="128">
        <f t="shared" si="100"/>
        <v>1.0663933030500568E-2</v>
      </c>
      <c r="L121" s="128">
        <f t="shared" si="100"/>
        <v>0.11628026647561067</v>
      </c>
      <c r="M121" s="128">
        <f t="shared" si="100"/>
        <v>0.12939397338263334</v>
      </c>
      <c r="N121" s="128">
        <f t="shared" si="100"/>
        <v>0.16741062174375701</v>
      </c>
      <c r="O121" s="128">
        <f t="shared" si="100"/>
        <v>0.12879942842360981</v>
      </c>
      <c r="P121" s="125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125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</row>
    <row r="122" spans="1:45" s="31" customFormat="1">
      <c r="A122" s="33" t="s">
        <v>384</v>
      </c>
      <c r="C122" s="128">
        <f t="shared" ref="C122:H122" si="101">C57/C109</f>
        <v>0.6851331110919926</v>
      </c>
      <c r="D122" s="128">
        <f t="shared" si="101"/>
        <v>0.69264566549648676</v>
      </c>
      <c r="E122" s="128">
        <f t="shared" si="101"/>
        <v>0.59232939871576695</v>
      </c>
      <c r="F122" s="128">
        <f t="shared" si="101"/>
        <v>0.53660825215370089</v>
      </c>
      <c r="G122" s="128">
        <f t="shared" si="101"/>
        <v>0.78489329687255927</v>
      </c>
      <c r="H122" s="128">
        <f t="shared" si="101"/>
        <v>0.67903967460887482</v>
      </c>
      <c r="I122" s="128">
        <f t="shared" ref="I122:O122" si="102">I57/I109</f>
        <v>0.6952119670457757</v>
      </c>
      <c r="J122" s="128">
        <f t="shared" si="102"/>
        <v>0.63744921046052061</v>
      </c>
      <c r="K122" s="128">
        <f t="shared" si="102"/>
        <v>0.70996768140296074</v>
      </c>
      <c r="L122" s="128">
        <f t="shared" si="102"/>
        <v>0.63695666802569761</v>
      </c>
      <c r="M122" s="128">
        <f t="shared" si="102"/>
        <v>0.62145788290988691</v>
      </c>
      <c r="N122" s="128">
        <f t="shared" si="102"/>
        <v>0.54541811196639078</v>
      </c>
      <c r="O122" s="128">
        <f t="shared" si="102"/>
        <v>0.66135913234308108</v>
      </c>
      <c r="P122" s="125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125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</row>
    <row r="123" spans="1:45" s="31" customFormat="1">
      <c r="A123" s="33" t="s">
        <v>385</v>
      </c>
      <c r="C123" s="128">
        <f t="shared" ref="C123:H123" si="103">C82/C109</f>
        <v>0.22000876591022869</v>
      </c>
      <c r="D123" s="128">
        <f t="shared" si="103"/>
        <v>0.22238598960529701</v>
      </c>
      <c r="E123" s="128">
        <f t="shared" si="103"/>
        <v>0.28487464863013329</v>
      </c>
      <c r="F123" s="128">
        <f t="shared" si="103"/>
        <v>0.3030002574367508</v>
      </c>
      <c r="G123" s="128">
        <f t="shared" si="103"/>
        <v>0.20719764151782802</v>
      </c>
      <c r="H123" s="128">
        <f t="shared" si="103"/>
        <v>0.12680300096805422</v>
      </c>
      <c r="I123" s="128">
        <f t="shared" ref="I123:O123" si="104">I82/I109</f>
        <v>0.12646662415412896</v>
      </c>
      <c r="J123" s="128">
        <f t="shared" si="104"/>
        <v>0.18068821288560946</v>
      </c>
      <c r="K123" s="128">
        <f t="shared" si="104"/>
        <v>0.27936838556653865</v>
      </c>
      <c r="L123" s="128">
        <f t="shared" si="104"/>
        <v>0.24676306549869176</v>
      </c>
      <c r="M123" s="128">
        <f t="shared" si="104"/>
        <v>0.2491481437074797</v>
      </c>
      <c r="N123" s="128">
        <f t="shared" si="104"/>
        <v>0.28717126628985229</v>
      </c>
      <c r="O123" s="128">
        <f t="shared" si="104"/>
        <v>0.20984143923330911</v>
      </c>
      <c r="P123" s="125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125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</row>
    <row r="124" spans="1:45" s="31" customFormat="1">
      <c r="A124" s="33" t="s">
        <v>386</v>
      </c>
      <c r="C124" s="128">
        <f t="shared" ref="C124:L124" si="105">SUM(C121:C123)</f>
        <v>1</v>
      </c>
      <c r="D124" s="128">
        <f t="shared" si="105"/>
        <v>1</v>
      </c>
      <c r="E124" s="128">
        <f t="shared" si="105"/>
        <v>1</v>
      </c>
      <c r="F124" s="128">
        <f t="shared" si="105"/>
        <v>1</v>
      </c>
      <c r="G124" s="128">
        <f t="shared" si="105"/>
        <v>1</v>
      </c>
      <c r="H124" s="128">
        <f t="shared" si="105"/>
        <v>0.99999999999999989</v>
      </c>
      <c r="I124" s="128">
        <f t="shared" si="105"/>
        <v>1</v>
      </c>
      <c r="J124" s="128">
        <f t="shared" si="105"/>
        <v>1</v>
      </c>
      <c r="K124" s="128">
        <f t="shared" si="105"/>
        <v>1</v>
      </c>
      <c r="L124" s="128">
        <f t="shared" si="105"/>
        <v>1</v>
      </c>
      <c r="M124" s="128">
        <f t="shared" ref="M124:N124" si="106">SUM(M121:M123)</f>
        <v>1</v>
      </c>
      <c r="N124" s="128">
        <f t="shared" si="106"/>
        <v>1</v>
      </c>
      <c r="O124" s="128">
        <f>SUM(O121:O123)</f>
        <v>1</v>
      </c>
      <c r="P124" s="125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125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</row>
    <row r="125" spans="1:45" s="31" customFormat="1">
      <c r="A125" s="125" t="s">
        <v>389</v>
      </c>
      <c r="C125" s="28">
        <f>+C20</f>
        <v>140027</v>
      </c>
      <c r="D125" s="28">
        <f t="shared" ref="D125:L125" si="107">+D20</f>
        <v>124117</v>
      </c>
      <c r="E125" s="28">
        <f t="shared" si="107"/>
        <v>135510</v>
      </c>
      <c r="F125" s="28">
        <f t="shared" si="107"/>
        <v>171957</v>
      </c>
      <c r="G125" s="28">
        <f t="shared" si="107"/>
        <v>12000</v>
      </c>
      <c r="H125" s="28">
        <f t="shared" si="107"/>
        <v>497400</v>
      </c>
      <c r="I125" s="28">
        <f t="shared" si="107"/>
        <v>458046</v>
      </c>
      <c r="J125" s="28">
        <f t="shared" si="107"/>
        <v>295319</v>
      </c>
      <c r="K125" s="28">
        <f>+K20</f>
        <v>12400</v>
      </c>
      <c r="L125" s="28">
        <f t="shared" si="107"/>
        <v>146880</v>
      </c>
      <c r="M125" s="28">
        <f t="shared" ref="M125:N125" si="108">+M20</f>
        <v>167276</v>
      </c>
      <c r="N125" s="28">
        <f t="shared" si="108"/>
        <v>181710</v>
      </c>
      <c r="O125" s="28">
        <f>+O20</f>
        <v>2342642</v>
      </c>
      <c r="P125" s="125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125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</row>
    <row r="126" spans="1:45" s="31" customFormat="1">
      <c r="A126" s="125" t="s">
        <v>387</v>
      </c>
      <c r="C126" s="28">
        <f>+C57</f>
        <v>1011375</v>
      </c>
      <c r="D126" s="28">
        <f t="shared" ref="D126:L126" si="109">+D57</f>
        <v>1011778</v>
      </c>
      <c r="E126" s="28">
        <f t="shared" si="109"/>
        <v>653658</v>
      </c>
      <c r="F126" s="28">
        <f t="shared" si="109"/>
        <v>575302</v>
      </c>
      <c r="G126" s="28">
        <f t="shared" si="109"/>
        <v>1190877</v>
      </c>
      <c r="H126" s="28">
        <f t="shared" si="109"/>
        <v>1739591</v>
      </c>
      <c r="I126" s="28">
        <f t="shared" si="109"/>
        <v>1785759</v>
      </c>
      <c r="J126" s="28">
        <f t="shared" si="109"/>
        <v>1035127</v>
      </c>
      <c r="K126" s="28">
        <f>+K57</f>
        <v>825549</v>
      </c>
      <c r="L126" s="28">
        <f t="shared" si="109"/>
        <v>804575</v>
      </c>
      <c r="M126" s="28">
        <f t="shared" ref="M126:N126" si="110">+M57</f>
        <v>803399</v>
      </c>
      <c r="N126" s="28">
        <f t="shared" si="110"/>
        <v>592005</v>
      </c>
      <c r="O126" s="28">
        <f>+O57</f>
        <v>12028995</v>
      </c>
      <c r="P126" s="125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125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</row>
    <row r="127" spans="1:45" s="31" customFormat="1">
      <c r="A127" s="125" t="s">
        <v>388</v>
      </c>
      <c r="C127" s="28">
        <f>C82</f>
        <v>324771</v>
      </c>
      <c r="D127" s="28">
        <f t="shared" ref="D127:L127" si="111">D82</f>
        <v>324849</v>
      </c>
      <c r="E127" s="28">
        <f t="shared" si="111"/>
        <v>314370</v>
      </c>
      <c r="F127" s="28">
        <f t="shared" si="111"/>
        <v>324849</v>
      </c>
      <c r="G127" s="28">
        <f t="shared" si="111"/>
        <v>314370</v>
      </c>
      <c r="H127" s="28">
        <f t="shared" si="111"/>
        <v>324849</v>
      </c>
      <c r="I127" s="28">
        <f t="shared" si="111"/>
        <v>324849</v>
      </c>
      <c r="J127" s="28">
        <f t="shared" si="111"/>
        <v>293412</v>
      </c>
      <c r="K127" s="28">
        <f>K82</f>
        <v>324849</v>
      </c>
      <c r="L127" s="28">
        <f t="shared" si="111"/>
        <v>311700</v>
      </c>
      <c r="M127" s="28">
        <f t="shared" ref="M127:N127" si="112">M82</f>
        <v>322090</v>
      </c>
      <c r="N127" s="28">
        <f t="shared" si="112"/>
        <v>311700</v>
      </c>
      <c r="O127" s="28">
        <f>O82</f>
        <v>3816658</v>
      </c>
      <c r="P127" s="125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125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</row>
    <row r="128" spans="1:45" s="31" customFormat="1">
      <c r="A128" s="125" t="s">
        <v>873</v>
      </c>
      <c r="C128" s="28">
        <f>SUM(C125:C127)</f>
        <v>1476173</v>
      </c>
      <c r="D128" s="28">
        <f>SUM(D125:D127)</f>
        <v>1460744</v>
      </c>
      <c r="E128" s="28">
        <f>SUM(E125:E127)</f>
        <v>1103538</v>
      </c>
      <c r="F128" s="28">
        <f t="shared" ref="F128:L128" si="113">SUM(F125:F127)</f>
        <v>1072108</v>
      </c>
      <c r="G128" s="28">
        <f t="shared" si="113"/>
        <v>1517247</v>
      </c>
      <c r="H128" s="28">
        <f t="shared" si="113"/>
        <v>2561840</v>
      </c>
      <c r="I128" s="28">
        <f t="shared" si="113"/>
        <v>2568654</v>
      </c>
      <c r="J128" s="28">
        <f t="shared" si="113"/>
        <v>1623858</v>
      </c>
      <c r="K128" s="28">
        <f t="shared" si="113"/>
        <v>1162798</v>
      </c>
      <c r="L128" s="28">
        <f t="shared" si="113"/>
        <v>1263155</v>
      </c>
      <c r="M128" s="28">
        <f t="shared" ref="M128:N128" si="114">SUM(M125:M127)</f>
        <v>1292765</v>
      </c>
      <c r="N128" s="28">
        <f t="shared" si="114"/>
        <v>1085415</v>
      </c>
      <c r="O128" s="28"/>
      <c r="P128" s="125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125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</row>
    <row r="129" spans="1:45" s="31" customFormat="1">
      <c r="A129" s="33"/>
      <c r="C129" s="128"/>
      <c r="D129" s="28"/>
      <c r="E129" s="128"/>
      <c r="F129" s="128"/>
      <c r="G129" s="128"/>
      <c r="H129" s="128"/>
      <c r="I129" s="128"/>
      <c r="J129" s="128"/>
      <c r="K129" s="128"/>
      <c r="L129" s="128"/>
      <c r="M129" s="128"/>
      <c r="N129" s="128"/>
      <c r="O129" s="128"/>
      <c r="P129" s="125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125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</row>
    <row r="130" spans="1:45">
      <c r="A130" s="33" t="s">
        <v>289</v>
      </c>
      <c r="C130" s="39">
        <f>+TRANSPORT!D67</f>
        <v>81992.712930000009</v>
      </c>
      <c r="D130" s="39">
        <f>+TRANSPORT!E67</f>
        <v>80851.098979999995</v>
      </c>
      <c r="E130" s="39">
        <f>+TRANSPORT!F67</f>
        <v>42250.1495</v>
      </c>
      <c r="F130" s="39">
        <f>+TRANSPORT!G67</f>
        <v>40202.230640000002</v>
      </c>
      <c r="G130" s="39">
        <f>+TRANSPORT!H67</f>
        <v>67291.831200000001</v>
      </c>
      <c r="H130" s="39">
        <f>+TRANSPORT!I67</f>
        <v>116390.05267999999</v>
      </c>
      <c r="I130" s="39">
        <f>+TRANSPORT!J67</f>
        <v>105702.62344</v>
      </c>
      <c r="J130" s="39">
        <f>+TRANSPORT!K67</f>
        <v>71865.088940000001</v>
      </c>
      <c r="K130" s="39">
        <f>+TRANSPORT!L67</f>
        <v>75278.825800000006</v>
      </c>
      <c r="L130" s="39">
        <f>+TRANSPORT!M67</f>
        <v>40738.398300000001</v>
      </c>
      <c r="M130" s="39">
        <f>+TRANSPORT!N67</f>
        <v>46075.546179999998</v>
      </c>
      <c r="N130" s="39">
        <f>+TRANSPORT!O67</f>
        <v>33933.817900000002</v>
      </c>
      <c r="O130" s="32">
        <f t="shared" ref="O130:O136" si="115">SUM(C130:N130)</f>
        <v>802572.37648999994</v>
      </c>
    </row>
    <row r="131" spans="1:45">
      <c r="A131" s="33" t="s">
        <v>290</v>
      </c>
      <c r="C131" s="39">
        <f>+DEMAND!B108</f>
        <v>1597446.474529</v>
      </c>
      <c r="D131" s="39">
        <f>+DEMAND!C108</f>
        <v>1590093.49554</v>
      </c>
      <c r="E131" s="39">
        <f>+DEMAND!D108</f>
        <v>1582543.893283</v>
      </c>
      <c r="F131" s="39">
        <f>+DEMAND!E108</f>
        <v>1783386.1206359998</v>
      </c>
      <c r="G131" s="39">
        <f>+DEMAND!F108</f>
        <v>1775834.4198469999</v>
      </c>
      <c r="H131" s="39">
        <f>+DEMAND!G108</f>
        <v>1770817.9350380001</v>
      </c>
      <c r="I131" s="39">
        <f>+DEMAND!H108</f>
        <v>1780271.3415220003</v>
      </c>
      <c r="J131" s="39">
        <f>+DEMAND!I108</f>
        <v>1755976.4374349997</v>
      </c>
      <c r="K131" s="39">
        <f>+DEMAND!J108</f>
        <v>1770965.6590199999</v>
      </c>
      <c r="L131" s="39">
        <f>+DEMAND!K108</f>
        <v>1586935.25067</v>
      </c>
      <c r="M131" s="39">
        <f>+DEMAND!L108</f>
        <v>1716745.663312</v>
      </c>
      <c r="N131" s="39">
        <f>+DEMAND!M108</f>
        <v>1715042.3722279998</v>
      </c>
      <c r="O131" s="32">
        <f t="shared" si="115"/>
        <v>20426059.063060001</v>
      </c>
    </row>
    <row r="132" spans="1:45">
      <c r="A132" s="33" t="s">
        <v>291</v>
      </c>
      <c r="C132" s="39">
        <f>SUM(C110,C130,C131)</f>
        <v>8514074.9774590004</v>
      </c>
      <c r="D132" s="39">
        <f t="shared" ref="D132:L132" si="116">SUM(D110,D130,D131)</f>
        <v>8536157.54452</v>
      </c>
      <c r="E132" s="39">
        <f>SUM(E110,E130,E131)</f>
        <v>5596602.0427829996</v>
      </c>
      <c r="F132" s="39">
        <f t="shared" si="116"/>
        <v>5917745.0662760008</v>
      </c>
      <c r="G132" s="39">
        <f t="shared" si="116"/>
        <v>7417286.4456110131</v>
      </c>
      <c r="H132" s="39">
        <f t="shared" si="116"/>
        <v>12843987.759474272</v>
      </c>
      <c r="I132" s="39">
        <f t="shared" si="116"/>
        <v>13028042.521148318</v>
      </c>
      <c r="J132" s="39">
        <f t="shared" si="116"/>
        <v>8769130.7780851722</v>
      </c>
      <c r="K132" s="39">
        <f t="shared" si="116"/>
        <v>6395065.2439745339</v>
      </c>
      <c r="L132" s="39">
        <f t="shared" si="116"/>
        <v>6878843.8573361943</v>
      </c>
      <c r="M132" s="39">
        <f t="shared" ref="M132:N132" si="117">SUM(M110,M130,M131)</f>
        <v>7301168.3287233301</v>
      </c>
      <c r="N132" s="39">
        <f t="shared" si="117"/>
        <v>6357805.6135021597</v>
      </c>
      <c r="O132" s="32">
        <f t="shared" si="115"/>
        <v>97555910.178893</v>
      </c>
    </row>
    <row r="133" spans="1:45">
      <c r="A133" s="33" t="s">
        <v>292</v>
      </c>
      <c r="B133" s="103"/>
      <c r="C133" s="39">
        <v>8457808.9336996861</v>
      </c>
      <c r="D133" s="39">
        <v>8467310.198998116</v>
      </c>
      <c r="E133" s="39">
        <v>4990942.3011560496</v>
      </c>
      <c r="F133" s="420">
        <v>5833519.657010274</v>
      </c>
      <c r="G133" s="39">
        <v>7199330.753398126</v>
      </c>
      <c r="H133" s="39">
        <v>12665754.545846172</v>
      </c>
      <c r="I133" s="39">
        <v>12587478.873405989</v>
      </c>
      <c r="J133" s="39">
        <v>8439113.4678922184</v>
      </c>
      <c r="K133" s="39">
        <v>6215486.8365406413</v>
      </c>
      <c r="L133" s="39">
        <v>6675091.1914566746</v>
      </c>
      <c r="M133" s="39">
        <v>7138835.4688403662</v>
      </c>
      <c r="N133" s="39">
        <v>6192682.5695872065</v>
      </c>
      <c r="O133" s="32">
        <f t="shared" si="115"/>
        <v>94863354.797831506</v>
      </c>
    </row>
    <row r="134" spans="1:45">
      <c r="A134" s="33" t="s">
        <v>310</v>
      </c>
      <c r="B134" s="103"/>
      <c r="C134" s="66">
        <v>166763</v>
      </c>
      <c r="D134" s="66">
        <v>166763</v>
      </c>
      <c r="E134" s="66">
        <v>166763</v>
      </c>
      <c r="F134" s="66">
        <v>166763</v>
      </c>
      <c r="G134" s="66">
        <v>166763</v>
      </c>
      <c r="H134" s="66">
        <v>166763</v>
      </c>
      <c r="I134" s="66">
        <f>166763+278250</f>
        <v>445013</v>
      </c>
      <c r="J134" s="66">
        <f>166763+134825</f>
        <v>301588</v>
      </c>
      <c r="K134" s="66">
        <v>166763</v>
      </c>
      <c r="L134" s="66">
        <v>142000</v>
      </c>
      <c r="M134" s="66">
        <v>142000</v>
      </c>
      <c r="N134" s="66">
        <v>142060</v>
      </c>
      <c r="O134" s="32">
        <f t="shared" si="115"/>
        <v>2340002</v>
      </c>
    </row>
    <row r="135" spans="1:45">
      <c r="A135" s="33" t="s">
        <v>908</v>
      </c>
      <c r="B135" s="103"/>
      <c r="C135" s="39">
        <f t="shared" ref="C135:L135" si="118">C133+C134</f>
        <v>8624571.9336996861</v>
      </c>
      <c r="D135" s="39">
        <f t="shared" si="118"/>
        <v>8634073.198998116</v>
      </c>
      <c r="E135" s="39">
        <f t="shared" si="118"/>
        <v>5157705.3011560496</v>
      </c>
      <c r="F135" s="39">
        <f t="shared" si="118"/>
        <v>6000282.657010274</v>
      </c>
      <c r="G135" s="39">
        <f t="shared" si="118"/>
        <v>7366093.753398126</v>
      </c>
      <c r="H135" s="39">
        <f t="shared" si="118"/>
        <v>12832517.545846172</v>
      </c>
      <c r="I135" s="39">
        <f t="shared" si="118"/>
        <v>13032491.873405989</v>
      </c>
      <c r="J135" s="39">
        <f t="shared" si="118"/>
        <v>8740701.4678922184</v>
      </c>
      <c r="K135" s="39">
        <f t="shared" si="118"/>
        <v>6382249.8365406413</v>
      </c>
      <c r="L135" s="39">
        <f t="shared" si="118"/>
        <v>6817091.1914566746</v>
      </c>
      <c r="M135" s="39">
        <f t="shared" ref="M135:N135" si="119">M133+M134</f>
        <v>7280835.4688403662</v>
      </c>
      <c r="N135" s="39">
        <f t="shared" si="119"/>
        <v>6334742.5695872065</v>
      </c>
      <c r="O135" s="32">
        <f t="shared" si="115"/>
        <v>97203356.797831506</v>
      </c>
    </row>
    <row r="136" spans="1:45" s="384" customFormat="1">
      <c r="A136" s="382" t="s">
        <v>287</v>
      </c>
      <c r="B136" s="383"/>
      <c r="C136" s="200">
        <f t="shared" ref="C136:L136" si="120">C132-C135</f>
        <v>-110496.95624068566</v>
      </c>
      <c r="D136" s="200">
        <f t="shared" si="120"/>
        <v>-97915.654478115961</v>
      </c>
      <c r="E136" s="200">
        <f t="shared" si="120"/>
        <v>438896.74162694998</v>
      </c>
      <c r="F136" s="200">
        <f t="shared" si="120"/>
        <v>-82537.590734273195</v>
      </c>
      <c r="G136" s="200">
        <f t="shared" si="120"/>
        <v>51192.692212887108</v>
      </c>
      <c r="H136" s="200">
        <f t="shared" si="120"/>
        <v>11470.213628100231</v>
      </c>
      <c r="I136" s="200">
        <f t="shared" si="120"/>
        <v>-4449.3522576708347</v>
      </c>
      <c r="J136" s="200">
        <f t="shared" si="120"/>
        <v>28429.310192953795</v>
      </c>
      <c r="K136" s="200">
        <f t="shared" si="120"/>
        <v>12815.4074338926</v>
      </c>
      <c r="L136" s="172">
        <f t="shared" si="120"/>
        <v>61752.665879519656</v>
      </c>
      <c r="M136" s="172">
        <f t="shared" ref="M136:N136" si="121">M132-M135</f>
        <v>20332.859882963821</v>
      </c>
      <c r="N136" s="172">
        <f t="shared" si="121"/>
        <v>23063.043914953247</v>
      </c>
      <c r="O136" s="200">
        <f t="shared" si="115"/>
        <v>352553.38106147479</v>
      </c>
    </row>
    <row r="137" spans="1:45" s="387" customFormat="1">
      <c r="A137" s="385" t="s">
        <v>463</v>
      </c>
      <c r="B137" s="383"/>
      <c r="C137" s="386">
        <f t="shared" ref="C137:L137" si="122">C136/C135</f>
        <v>-1.2811877167947247E-2</v>
      </c>
      <c r="D137" s="386">
        <f t="shared" si="122"/>
        <v>-1.1340609723980327E-2</v>
      </c>
      <c r="E137" s="386">
        <f t="shared" si="122"/>
        <v>8.5095350742233289E-2</v>
      </c>
      <c r="F137" s="386">
        <f t="shared" si="122"/>
        <v>-1.375561710211144E-2</v>
      </c>
      <c r="G137" s="386">
        <f t="shared" si="122"/>
        <v>6.949774728195782E-3</v>
      </c>
      <c r="H137" s="386">
        <f t="shared" si="122"/>
        <v>8.9383969958514394E-4</v>
      </c>
      <c r="I137" s="386">
        <f t="shared" si="122"/>
        <v>-3.4140456797446017E-4</v>
      </c>
      <c r="J137" s="386">
        <f t="shared" si="122"/>
        <v>3.252520440994926E-3</v>
      </c>
      <c r="K137" s="386">
        <f t="shared" si="122"/>
        <v>2.0079764600438943E-3</v>
      </c>
      <c r="L137" s="386">
        <f t="shared" si="122"/>
        <v>9.0585066482474844E-3</v>
      </c>
      <c r="M137" s="386">
        <f t="shared" ref="M137:N137" si="123">M136/M135</f>
        <v>2.7926547674345784E-3</v>
      </c>
      <c r="N137" s="386">
        <f t="shared" si="123"/>
        <v>3.6407231488265693E-3</v>
      </c>
      <c r="O137" s="386">
        <f>O136/O135</f>
        <v>3.6269671405971429E-3</v>
      </c>
    </row>
    <row r="138" spans="1:45" s="31" customFormat="1">
      <c r="A138" s="213" t="s">
        <v>481</v>
      </c>
      <c r="B138" s="108" t="s">
        <v>47</v>
      </c>
      <c r="C138" s="107">
        <f>+'STORAGE TOT'!C5</f>
        <v>917781</v>
      </c>
      <c r="D138" s="107">
        <f>+'STORAGE TOT'!D5</f>
        <v>875304</v>
      </c>
      <c r="E138" s="107">
        <f>+'STORAGE TOT'!E5</f>
        <v>388690</v>
      </c>
      <c r="F138" s="107">
        <f>+'STORAGE TOT'!F5</f>
        <v>248543</v>
      </c>
      <c r="G138" s="107">
        <f>+'STORAGE TOT'!G5</f>
        <v>63128</v>
      </c>
      <c r="H138" s="107">
        <f>+'STORAGE TOT'!H5</f>
        <v>21098</v>
      </c>
      <c r="I138" s="107">
        <f>+'STORAGE TOT'!I5</f>
        <v>45562</v>
      </c>
      <c r="J138" s="107">
        <f>+'STORAGE TOT'!J5</f>
        <v>37562</v>
      </c>
      <c r="K138" s="107">
        <f>+'STORAGE TOT'!K5</f>
        <v>14111</v>
      </c>
      <c r="L138" s="107">
        <f>+'STORAGE TOT'!L5</f>
        <v>347470</v>
      </c>
      <c r="M138" s="107">
        <f>+'STORAGE TOT'!M5</f>
        <v>611444</v>
      </c>
      <c r="N138" s="107">
        <f>+'STORAGE TOT'!N5</f>
        <v>533120</v>
      </c>
      <c r="O138" s="108">
        <f>SUM(C138:N138)</f>
        <v>4103813</v>
      </c>
    </row>
    <row r="139" spans="1:45" s="31" customFormat="1">
      <c r="A139" s="125" t="s">
        <v>482</v>
      </c>
      <c r="B139" s="22" t="s">
        <v>47</v>
      </c>
      <c r="C139" s="107">
        <f>+'STORAGE TOT'!C10</f>
        <v>0</v>
      </c>
      <c r="D139" s="107">
        <f>+'STORAGE TOT'!D10</f>
        <v>0</v>
      </c>
      <c r="E139" s="107">
        <f>+'STORAGE TOT'!E10</f>
        <v>0</v>
      </c>
      <c r="F139" s="107">
        <f>+'STORAGE TOT'!F10</f>
        <v>-54102</v>
      </c>
      <c r="G139" s="107">
        <f>+'STORAGE TOT'!G10</f>
        <v>-197336</v>
      </c>
      <c r="H139" s="107">
        <f>+'STORAGE TOT'!H10</f>
        <v>-911051</v>
      </c>
      <c r="I139" s="107">
        <f>+'STORAGE TOT'!I10</f>
        <v>-841222</v>
      </c>
      <c r="J139" s="107">
        <f>+'STORAGE TOT'!J10</f>
        <v>-543564</v>
      </c>
      <c r="K139" s="107">
        <f>+'STORAGE TOT'!K10</f>
        <v>-746089</v>
      </c>
      <c r="L139" s="107">
        <f>+'STORAGE TOT'!L10</f>
        <v>0</v>
      </c>
      <c r="M139" s="107">
        <f>+'STORAGE TOT'!M10</f>
        <v>0</v>
      </c>
      <c r="N139" s="107">
        <f>+'STORAGE TOT'!N10</f>
        <v>0</v>
      </c>
      <c r="O139" s="108">
        <f>SUM(C139:N139)</f>
        <v>-3293364</v>
      </c>
    </row>
    <row r="140" spans="1:45" s="31" customFormat="1">
      <c r="A140" s="33"/>
      <c r="B140" s="1"/>
      <c r="C140" s="39"/>
      <c r="D140" s="24"/>
      <c r="E140" s="24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spans="1:45">
      <c r="A141" s="125" t="s">
        <v>483</v>
      </c>
      <c r="B141" s="10" t="s">
        <v>47</v>
      </c>
      <c r="C141" s="28">
        <f t="shared" ref="C141:J141" si="124">C91-C138</f>
        <v>527392</v>
      </c>
      <c r="D141" s="28">
        <f t="shared" si="124"/>
        <v>554440</v>
      </c>
      <c r="E141" s="28">
        <f t="shared" si="124"/>
        <v>609848</v>
      </c>
      <c r="F141" s="28">
        <f t="shared" si="124"/>
        <v>766420</v>
      </c>
      <c r="G141" s="28">
        <f t="shared" si="124"/>
        <v>550012</v>
      </c>
      <c r="H141" s="28">
        <f t="shared" si="124"/>
        <v>736480</v>
      </c>
      <c r="I141" s="28">
        <f t="shared" si="124"/>
        <v>1025060</v>
      </c>
      <c r="J141" s="28">
        <f t="shared" si="124"/>
        <v>790821</v>
      </c>
      <c r="K141" s="28">
        <f>K91-K138</f>
        <v>584467</v>
      </c>
      <c r="L141" s="28">
        <f>L91-L138</f>
        <v>793460</v>
      </c>
      <c r="M141" s="28">
        <f>M91-M138</f>
        <v>583017</v>
      </c>
      <c r="N141" s="28">
        <f>N91-N138</f>
        <v>477295</v>
      </c>
      <c r="O141" s="108">
        <f>SUM(C141:N141)</f>
        <v>7998712</v>
      </c>
    </row>
    <row r="142" spans="1:45">
      <c r="A142" s="33" t="s">
        <v>484</v>
      </c>
      <c r="B142" s="10" t="s">
        <v>47</v>
      </c>
      <c r="C142" s="107">
        <f>-C139</f>
        <v>0</v>
      </c>
      <c r="D142" s="107">
        <f t="shared" ref="D142:J142" si="125">-D139</f>
        <v>0</v>
      </c>
      <c r="E142" s="107">
        <f t="shared" si="125"/>
        <v>0</v>
      </c>
      <c r="F142" s="107">
        <f t="shared" si="125"/>
        <v>54102</v>
      </c>
      <c r="G142" s="107">
        <f t="shared" si="125"/>
        <v>197336</v>
      </c>
      <c r="H142" s="107">
        <f t="shared" si="125"/>
        <v>911051</v>
      </c>
      <c r="I142" s="107">
        <f t="shared" si="125"/>
        <v>841222</v>
      </c>
      <c r="J142" s="107">
        <f t="shared" si="125"/>
        <v>543564</v>
      </c>
      <c r="K142" s="107">
        <f>-K139</f>
        <v>746089</v>
      </c>
      <c r="L142" s="107">
        <f>-L139</f>
        <v>0</v>
      </c>
      <c r="M142" s="107">
        <f>-M139</f>
        <v>0</v>
      </c>
      <c r="N142" s="107">
        <f>-N139</f>
        <v>0</v>
      </c>
      <c r="O142" s="108">
        <f>SUM(C142:N142)</f>
        <v>3293364</v>
      </c>
    </row>
    <row r="143" spans="1:45">
      <c r="A143" s="33"/>
      <c r="C143" s="39"/>
      <c r="D143" s="28"/>
      <c r="E143" s="28"/>
      <c r="F143" s="22"/>
      <c r="G143" s="22"/>
      <c r="H143" s="22"/>
      <c r="I143" s="22"/>
      <c r="J143" s="22"/>
      <c r="K143" s="22"/>
      <c r="L143" s="22"/>
      <c r="M143" s="28"/>
      <c r="N143" s="28"/>
    </row>
    <row r="144" spans="1:45">
      <c r="A144" s="33" t="s">
        <v>816</v>
      </c>
      <c r="B144" s="10"/>
      <c r="C144" s="28"/>
      <c r="D144" s="39"/>
      <c r="E144" s="28"/>
      <c r="F144" s="22"/>
      <c r="G144" s="22"/>
      <c r="H144" s="22"/>
      <c r="I144" s="22"/>
      <c r="J144" s="28"/>
      <c r="K144" s="28"/>
      <c r="L144" s="28"/>
      <c r="M144" s="28"/>
      <c r="N144" s="28"/>
      <c r="O144" s="22"/>
    </row>
    <row r="145" spans="1:17">
      <c r="A145" s="33"/>
      <c r="C145" s="39"/>
    </row>
    <row r="146" spans="1:17">
      <c r="A146" s="123" t="s">
        <v>287</v>
      </c>
      <c r="C146" s="39"/>
      <c r="D146" s="39"/>
    </row>
    <row r="147" spans="1:17">
      <c r="A147" s="125" t="s">
        <v>463</v>
      </c>
      <c r="D147" s="129"/>
    </row>
    <row r="148" spans="1:17">
      <c r="G148" s="22"/>
    </row>
    <row r="149" spans="1:17" s="99" customFormat="1">
      <c r="A149" s="1"/>
      <c r="C149" s="17"/>
      <c r="D149" s="17"/>
      <c r="E149" s="17"/>
      <c r="F149" s="16"/>
      <c r="G149" s="22"/>
      <c r="H149" s="124"/>
      <c r="I149" s="16"/>
      <c r="J149" s="16"/>
      <c r="K149" s="16"/>
      <c r="L149" s="16"/>
      <c r="M149" s="16"/>
      <c r="N149" s="16"/>
      <c r="O149" s="16"/>
    </row>
    <row r="150" spans="1:17">
      <c r="A150" s="33" t="s">
        <v>863</v>
      </c>
      <c r="G150" s="22">
        <f t="shared" ref="G150:L150" si="126">G109</f>
        <v>1517247</v>
      </c>
      <c r="H150" s="22">
        <f t="shared" si="126"/>
        <v>2561840</v>
      </c>
      <c r="I150" s="22">
        <f t="shared" si="126"/>
        <v>2568654</v>
      </c>
      <c r="J150" s="22">
        <f t="shared" si="126"/>
        <v>1623858</v>
      </c>
      <c r="K150" s="22">
        <f t="shared" si="126"/>
        <v>1162798</v>
      </c>
      <c r="L150" s="22">
        <f t="shared" si="126"/>
        <v>1263155</v>
      </c>
      <c r="M150" s="22">
        <f t="shared" ref="M150:N150" si="127">M109</f>
        <v>1292765</v>
      </c>
      <c r="N150" s="22">
        <f t="shared" si="127"/>
        <v>1085415</v>
      </c>
      <c r="O150" s="22">
        <f>SUM(G150:M150)</f>
        <v>11990317</v>
      </c>
    </row>
    <row r="151" spans="1:17">
      <c r="A151" s="33" t="s">
        <v>864</v>
      </c>
      <c r="C151" s="28"/>
      <c r="G151" s="22">
        <f t="shared" ref="G151:L151" si="128">SUM(G2,G5,G33)</f>
        <v>469107</v>
      </c>
      <c r="H151" s="22">
        <f t="shared" si="128"/>
        <v>1148131</v>
      </c>
      <c r="I151" s="22">
        <f t="shared" si="128"/>
        <v>1020106</v>
      </c>
      <c r="J151" s="22">
        <f t="shared" si="128"/>
        <v>505594</v>
      </c>
      <c r="K151" s="22">
        <f t="shared" si="128"/>
        <v>114720</v>
      </c>
      <c r="L151" s="22">
        <f t="shared" si="128"/>
        <v>257225</v>
      </c>
      <c r="M151" s="22">
        <f t="shared" ref="M151:N151" si="129">SUM(M2,M5,M33)</f>
        <v>175804</v>
      </c>
      <c r="N151" s="22">
        <f t="shared" si="129"/>
        <v>169830</v>
      </c>
      <c r="O151" s="22">
        <f t="shared" ref="O151:O154" si="130">SUM(G151:M151)</f>
        <v>3690687</v>
      </c>
      <c r="Q151" s="124">
        <f>O151/O150</f>
        <v>0.30780562348768592</v>
      </c>
    </row>
    <row r="152" spans="1:17">
      <c r="A152" s="33" t="s">
        <v>862</v>
      </c>
      <c r="C152" s="130"/>
      <c r="G152" s="22">
        <f t="shared" ref="G152:L152" si="131">G95</f>
        <v>435000</v>
      </c>
      <c r="H152" s="22">
        <f t="shared" si="131"/>
        <v>480500</v>
      </c>
      <c r="I152" s="22">
        <f t="shared" si="131"/>
        <v>480500</v>
      </c>
      <c r="J152" s="22">
        <f t="shared" si="131"/>
        <v>434000</v>
      </c>
      <c r="K152" s="22">
        <f t="shared" si="131"/>
        <v>449500</v>
      </c>
      <c r="L152" s="22">
        <f t="shared" si="131"/>
        <v>0</v>
      </c>
      <c r="M152" s="22">
        <f t="shared" ref="M152:N152" si="132">M95</f>
        <v>77500</v>
      </c>
      <c r="N152" s="22">
        <f t="shared" si="132"/>
        <v>75000</v>
      </c>
      <c r="O152" s="22">
        <f t="shared" si="130"/>
        <v>2357000</v>
      </c>
      <c r="Q152" s="124">
        <f>O152/O150</f>
        <v>0.19657528654163189</v>
      </c>
    </row>
    <row r="153" spans="1:17">
      <c r="A153" s="33" t="s">
        <v>482</v>
      </c>
      <c r="C153" s="39"/>
      <c r="G153" s="22">
        <f t="shared" ref="G153:L153" si="133">-G139</f>
        <v>197336</v>
      </c>
      <c r="H153" s="22">
        <f t="shared" si="133"/>
        <v>911051</v>
      </c>
      <c r="I153" s="22">
        <f t="shared" si="133"/>
        <v>841222</v>
      </c>
      <c r="J153" s="22">
        <f t="shared" si="133"/>
        <v>543564</v>
      </c>
      <c r="K153" s="22">
        <f t="shared" si="133"/>
        <v>746089</v>
      </c>
      <c r="L153" s="22">
        <f t="shared" si="133"/>
        <v>0</v>
      </c>
      <c r="M153" s="22">
        <f t="shared" ref="M153:N153" si="134">-M139</f>
        <v>0</v>
      </c>
      <c r="N153" s="22">
        <f t="shared" si="134"/>
        <v>0</v>
      </c>
      <c r="O153" s="22">
        <f t="shared" si="130"/>
        <v>3239262</v>
      </c>
      <c r="P153" s="22" t="s">
        <v>867</v>
      </c>
    </row>
    <row r="154" spans="1:17" s="31" customFormat="1">
      <c r="A154" s="125" t="s">
        <v>865</v>
      </c>
      <c r="C154" s="28"/>
      <c r="D154" s="28"/>
      <c r="E154" s="28"/>
      <c r="F154" s="22"/>
      <c r="G154" s="22">
        <f t="shared" ref="G154:L154" si="135">G99</f>
        <v>469107</v>
      </c>
      <c r="H154" s="22">
        <f t="shared" si="135"/>
        <v>1323762</v>
      </c>
      <c r="I154" s="22">
        <f t="shared" si="135"/>
        <v>1017532</v>
      </c>
      <c r="J154" s="22">
        <f t="shared" si="135"/>
        <v>361475</v>
      </c>
      <c r="K154" s="22">
        <f t="shared" si="135"/>
        <v>114720</v>
      </c>
      <c r="L154" s="22">
        <f t="shared" si="135"/>
        <v>122225</v>
      </c>
      <c r="M154" s="22">
        <f t="shared" ref="M154:N154" si="136">M99</f>
        <v>20804</v>
      </c>
      <c r="N154" s="22">
        <f t="shared" si="136"/>
        <v>0</v>
      </c>
      <c r="O154" s="22">
        <f t="shared" si="130"/>
        <v>3429625</v>
      </c>
      <c r="P154" s="22">
        <f>O150+O153</f>
        <v>15229579</v>
      </c>
      <c r="Q154" s="124">
        <f>O153/P154</f>
        <v>0.21269543957846768</v>
      </c>
    </row>
    <row r="155" spans="1:17">
      <c r="A155" s="125" t="s">
        <v>866</v>
      </c>
      <c r="B155" s="99"/>
      <c r="C155" s="17"/>
      <c r="G155" s="124">
        <f t="shared" ref="G155:L155" si="137">G154/G150</f>
        <v>0.30918301370838103</v>
      </c>
      <c r="H155" s="124">
        <f t="shared" si="137"/>
        <v>0.51672313649564372</v>
      </c>
      <c r="I155" s="124">
        <f t="shared" si="137"/>
        <v>0.39613431781781433</v>
      </c>
      <c r="J155" s="124">
        <f t="shared" si="137"/>
        <v>0.2226025920985702</v>
      </c>
      <c r="K155" s="124">
        <f t="shared" si="137"/>
        <v>9.8658580424114933E-2</v>
      </c>
      <c r="L155" s="124">
        <f t="shared" si="137"/>
        <v>9.6761680078850179E-2</v>
      </c>
      <c r="M155" s="124">
        <f t="shared" ref="M155:N155" si="138">M154/M150</f>
        <v>1.6092638646621776E-2</v>
      </c>
      <c r="N155" s="124">
        <f t="shared" si="138"/>
        <v>0</v>
      </c>
      <c r="O155" s="124">
        <f>O154/O150</f>
        <v>0.28603288803790594</v>
      </c>
    </row>
    <row r="156" spans="1:17">
      <c r="C156" s="39"/>
    </row>
    <row r="157" spans="1:17" s="31" customFormat="1">
      <c r="C157" s="28"/>
      <c r="D157" s="28"/>
      <c r="E157" s="28"/>
      <c r="F157" s="22"/>
      <c r="G157" s="22"/>
      <c r="H157" s="22"/>
      <c r="I157" s="22"/>
      <c r="J157" s="22"/>
      <c r="K157" s="22"/>
      <c r="L157" s="22"/>
      <c r="M157" s="22"/>
      <c r="N157" s="22"/>
      <c r="O157" s="22"/>
    </row>
    <row r="158" spans="1:17">
      <c r="C158" s="39"/>
    </row>
    <row r="159" spans="1:17">
      <c r="C159" s="39"/>
    </row>
    <row r="160" spans="1:17" s="31" customFormat="1">
      <c r="C160" s="28"/>
      <c r="D160" s="28"/>
      <c r="E160" s="28"/>
      <c r="F160" s="22"/>
      <c r="G160" s="22"/>
      <c r="H160" s="22"/>
      <c r="I160" s="22"/>
      <c r="J160" s="22"/>
      <c r="K160" s="22"/>
      <c r="L160" s="22"/>
      <c r="M160" s="22"/>
      <c r="N160" s="22"/>
      <c r="O160" s="22"/>
    </row>
    <row r="161" spans="1:15" s="99" customFormat="1">
      <c r="A161" s="31"/>
      <c r="C161" s="17"/>
      <c r="D161" s="17"/>
      <c r="E161" s="17"/>
      <c r="F161" s="16"/>
      <c r="G161" s="16"/>
      <c r="H161" s="16"/>
      <c r="I161" s="16"/>
      <c r="J161" s="16"/>
      <c r="K161" s="16"/>
      <c r="L161" s="16"/>
      <c r="M161" s="16"/>
      <c r="N161" s="16"/>
      <c r="O161" s="16"/>
    </row>
    <row r="162" spans="1:15">
      <c r="A162" s="31"/>
      <c r="C162" s="39"/>
    </row>
    <row r="163" spans="1:15" s="31" customFormat="1">
      <c r="C163" s="28"/>
      <c r="D163" s="28"/>
      <c r="E163" s="28"/>
      <c r="F163" s="22"/>
      <c r="G163" s="22"/>
      <c r="H163" s="22"/>
      <c r="I163" s="22"/>
      <c r="J163" s="22"/>
      <c r="K163" s="22"/>
      <c r="L163" s="22"/>
      <c r="M163" s="22"/>
      <c r="N163" s="22"/>
      <c r="O163" s="22"/>
    </row>
    <row r="164" spans="1:15">
      <c r="C164" s="130"/>
    </row>
    <row r="165" spans="1:15">
      <c r="C165" s="39"/>
    </row>
    <row r="166" spans="1:15">
      <c r="C166" s="39"/>
    </row>
    <row r="167" spans="1:15" s="31" customFormat="1">
      <c r="C167" s="28"/>
      <c r="D167" s="28"/>
      <c r="E167" s="28"/>
      <c r="F167" s="22"/>
      <c r="G167" s="22"/>
      <c r="H167" s="22"/>
      <c r="I167" s="22"/>
      <c r="J167" s="22"/>
      <c r="K167" s="22"/>
      <c r="L167" s="22"/>
      <c r="M167" s="22"/>
      <c r="N167" s="22"/>
      <c r="O167" s="22"/>
    </row>
    <row r="168" spans="1:15">
      <c r="C168" s="17"/>
    </row>
    <row r="169" spans="1:15" s="112" customFormat="1">
      <c r="C169" s="39"/>
      <c r="D169" s="39"/>
      <c r="E169" s="39"/>
      <c r="F169" s="32"/>
      <c r="G169" s="32"/>
      <c r="H169" s="32"/>
      <c r="I169" s="32"/>
      <c r="J169" s="32"/>
      <c r="K169" s="32"/>
      <c r="L169" s="32"/>
      <c r="M169" s="32"/>
      <c r="N169" s="32"/>
      <c r="O169" s="32"/>
    </row>
    <row r="170" spans="1:15" s="112" customFormat="1">
      <c r="A170" s="31"/>
      <c r="B170" s="31"/>
      <c r="C170" s="107"/>
      <c r="D170" s="39"/>
      <c r="E170" s="39"/>
      <c r="F170" s="32"/>
      <c r="G170" s="32"/>
      <c r="H170" s="32"/>
      <c r="I170" s="32"/>
      <c r="J170" s="32"/>
      <c r="K170" s="32"/>
      <c r="L170" s="32"/>
      <c r="M170" s="32"/>
      <c r="N170" s="32"/>
      <c r="O170" s="32"/>
    </row>
    <row r="171" spans="1:15" s="112" customFormat="1">
      <c r="C171" s="39"/>
      <c r="D171" s="39"/>
      <c r="E171" s="39"/>
      <c r="F171" s="32"/>
      <c r="G171" s="32"/>
      <c r="H171" s="32"/>
      <c r="I171" s="32"/>
      <c r="J171" s="32"/>
      <c r="K171" s="32"/>
      <c r="L171" s="32"/>
      <c r="M171" s="32"/>
      <c r="N171" s="32"/>
      <c r="O171" s="32"/>
    </row>
    <row r="172" spans="1:15" s="31" customFormat="1">
      <c r="C172" s="28"/>
      <c r="D172" s="28"/>
      <c r="E172" s="28"/>
      <c r="F172" s="22"/>
      <c r="G172" s="22"/>
      <c r="H172" s="22"/>
      <c r="I172" s="22"/>
      <c r="J172" s="22"/>
      <c r="K172" s="22"/>
      <c r="L172" s="22"/>
      <c r="M172" s="22"/>
      <c r="N172" s="22"/>
      <c r="O172" s="22"/>
    </row>
    <row r="173" spans="1:15">
      <c r="A173" s="31"/>
      <c r="C173" s="17"/>
    </row>
    <row r="174" spans="1:15">
      <c r="A174" s="31"/>
      <c r="B174" s="112"/>
      <c r="C174" s="39"/>
    </row>
    <row r="175" spans="1:15">
      <c r="A175" s="31"/>
      <c r="B175" s="31"/>
      <c r="C175" s="107"/>
    </row>
    <row r="176" spans="1:15" s="31" customFormat="1">
      <c r="B176" s="1"/>
      <c r="C176" s="28"/>
      <c r="D176" s="28"/>
      <c r="E176" s="28"/>
      <c r="F176" s="22"/>
      <c r="G176" s="22"/>
      <c r="H176" s="22"/>
      <c r="I176" s="22"/>
      <c r="J176" s="22"/>
      <c r="K176" s="22"/>
      <c r="L176" s="22"/>
      <c r="M176" s="22"/>
      <c r="N176" s="22"/>
      <c r="O176" s="22"/>
    </row>
    <row r="177" spans="1:15" s="112" customFormat="1">
      <c r="A177" s="31"/>
      <c r="C177" s="66"/>
      <c r="D177" s="39"/>
      <c r="E177" s="39"/>
      <c r="F177" s="32"/>
      <c r="G177" s="32"/>
      <c r="H177" s="32"/>
      <c r="I177" s="32"/>
      <c r="J177" s="32"/>
      <c r="K177" s="32"/>
      <c r="L177" s="32"/>
      <c r="M177" s="32"/>
      <c r="N177" s="32"/>
      <c r="O177" s="32"/>
    </row>
    <row r="179" spans="1:15" s="31" customFormat="1">
      <c r="C179" s="28"/>
      <c r="D179" s="28"/>
      <c r="E179" s="28"/>
      <c r="F179" s="22"/>
      <c r="G179" s="22"/>
      <c r="H179" s="22"/>
      <c r="I179" s="22"/>
      <c r="J179" s="22"/>
      <c r="K179" s="22"/>
      <c r="L179" s="22"/>
      <c r="M179" s="22"/>
      <c r="N179" s="22"/>
      <c r="O179" s="22"/>
    </row>
    <row r="180" spans="1:15" s="31" customFormat="1">
      <c r="C180" s="107"/>
      <c r="D180" s="28"/>
      <c r="E180" s="28"/>
      <c r="F180" s="22"/>
      <c r="G180" s="22"/>
      <c r="H180" s="22"/>
      <c r="I180" s="22"/>
      <c r="J180" s="22"/>
      <c r="K180" s="22"/>
      <c r="L180" s="22"/>
      <c r="M180" s="22"/>
      <c r="N180" s="22"/>
      <c r="O180" s="22"/>
    </row>
    <row r="181" spans="1:15">
      <c r="C181" s="39"/>
    </row>
    <row r="182" spans="1:15">
      <c r="C182" s="39"/>
    </row>
  </sheetData>
  <phoneticPr fontId="0" type="noConversion"/>
  <printOptions gridLines="1" gridLinesSet="0"/>
  <pageMargins left="0.75" right="0.75" top="1" bottom="1" header="0.5" footer="0.5"/>
  <pageSetup scale="37" orientation="portrait" horizontalDpi="4294967292" verticalDpi="300" r:id="rId1"/>
  <headerFooter alignWithMargins="0">
    <oddHeader>&amp;A</oddHeader>
    <oddFooter>Page 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/>
  <dimension ref="A1:AF75"/>
  <sheetViews>
    <sheetView zoomScale="50" workbookViewId="0">
      <pane xSplit="3" ySplit="1" topLeftCell="D26" activePane="bottomRight" state="frozen"/>
      <selection activeCell="I74" sqref="I74"/>
      <selection pane="topRight" activeCell="I74" sqref="I74"/>
      <selection pane="bottomLeft" activeCell="I74" sqref="I74"/>
      <selection pane="bottomRight" activeCell="O67" sqref="O67"/>
    </sheetView>
  </sheetViews>
  <sheetFormatPr defaultColWidth="7.109375" defaultRowHeight="20.25"/>
  <cols>
    <col min="1" max="1" width="17.88671875" style="44" bestFit="1" customWidth="1"/>
    <col min="2" max="2" width="19.88671875" style="44" bestFit="1" customWidth="1"/>
    <col min="3" max="3" width="7.88671875" style="44" bestFit="1" customWidth="1"/>
    <col min="4" max="4" width="12.77734375" style="70" customWidth="1"/>
    <col min="5" max="5" width="12.6640625" style="70" bestFit="1" customWidth="1"/>
    <col min="6" max="7" width="12.109375" style="70" bestFit="1" customWidth="1"/>
    <col min="8" max="9" width="13.88671875" style="70" bestFit="1" customWidth="1"/>
    <col min="10" max="10" width="14" style="70" bestFit="1" customWidth="1"/>
    <col min="11" max="11" width="14.88671875" style="70" bestFit="1" customWidth="1"/>
    <col min="12" max="15" width="12.109375" style="70" bestFit="1" customWidth="1"/>
    <col min="16" max="16" width="22.6640625" style="70" bestFit="1" customWidth="1"/>
    <col min="17" max="17" width="11.44140625" style="44" bestFit="1" customWidth="1"/>
    <col min="18" max="19" width="8.77734375" style="44" bestFit="1" customWidth="1"/>
    <col min="20" max="20" width="12.33203125" style="44" bestFit="1" customWidth="1"/>
    <col min="21" max="21" width="8.77734375" style="44" bestFit="1" customWidth="1"/>
    <col min="22" max="22" width="10.109375" style="44" bestFit="1" customWidth="1"/>
    <col min="23" max="31" width="7.109375" style="44" customWidth="1"/>
    <col min="32" max="32" width="10.109375" style="44" bestFit="1" customWidth="1"/>
    <col min="33" max="16384" width="7.109375" style="44"/>
  </cols>
  <sheetData>
    <row r="1" spans="1:32">
      <c r="D1" s="14">
        <v>40360</v>
      </c>
      <c r="E1" s="14">
        <v>40391</v>
      </c>
      <c r="F1" s="14">
        <v>40422</v>
      </c>
      <c r="G1" s="14">
        <v>40452</v>
      </c>
      <c r="H1" s="14">
        <v>40483</v>
      </c>
      <c r="I1" s="14">
        <v>40513</v>
      </c>
      <c r="J1" s="14">
        <v>40544</v>
      </c>
      <c r="K1" s="14">
        <v>40575</v>
      </c>
      <c r="L1" s="14">
        <v>40603</v>
      </c>
      <c r="M1" s="14">
        <v>40269</v>
      </c>
      <c r="N1" s="14">
        <v>40299</v>
      </c>
      <c r="O1" s="14">
        <v>40330</v>
      </c>
      <c r="P1" s="91" t="s">
        <v>758</v>
      </c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5"/>
    </row>
    <row r="2" spans="1:32">
      <c r="D2" s="24"/>
      <c r="F2" s="24"/>
      <c r="G2" s="24"/>
      <c r="H2" s="24"/>
      <c r="I2" s="24"/>
      <c r="J2" s="55"/>
      <c r="K2" s="24"/>
      <c r="L2" s="55"/>
      <c r="M2" s="24"/>
      <c r="N2" s="55"/>
      <c r="O2" s="24"/>
      <c r="T2" s="47"/>
      <c r="U2" s="47"/>
      <c r="V2" s="10"/>
      <c r="W2" s="10"/>
      <c r="X2" s="10"/>
      <c r="Y2" s="10"/>
      <c r="Z2" s="46"/>
      <c r="AA2" s="10"/>
      <c r="AB2" s="46"/>
      <c r="AC2" s="10"/>
      <c r="AD2" s="46"/>
      <c r="AE2" s="10"/>
      <c r="AF2" s="47"/>
    </row>
    <row r="3" spans="1:32" s="58" customFormat="1">
      <c r="A3" s="56" t="s">
        <v>190</v>
      </c>
      <c r="B3" s="56" t="s">
        <v>254</v>
      </c>
      <c r="C3" s="57" t="s">
        <v>47</v>
      </c>
      <c r="D3" s="337"/>
      <c r="E3" s="71"/>
      <c r="F3" s="324"/>
      <c r="G3" s="323"/>
      <c r="H3" s="71"/>
      <c r="I3" s="425">
        <v>555490</v>
      </c>
      <c r="J3" s="425">
        <v>513469</v>
      </c>
      <c r="K3" s="425">
        <v>303376</v>
      </c>
      <c r="L3" s="431">
        <v>33888</v>
      </c>
      <c r="M3" s="451">
        <v>107503</v>
      </c>
      <c r="N3" s="336"/>
      <c r="O3" s="337"/>
      <c r="P3" s="57">
        <f>SUM(D3:O3)</f>
        <v>1513726</v>
      </c>
      <c r="S3" s="48"/>
      <c r="T3" s="22"/>
      <c r="U3" s="22"/>
      <c r="V3" s="22"/>
      <c r="W3" s="22"/>
      <c r="X3" s="22"/>
      <c r="Y3" s="22"/>
      <c r="Z3" s="59"/>
      <c r="AA3" s="59"/>
      <c r="AB3" s="59"/>
      <c r="AC3" s="59"/>
      <c r="AD3" s="22"/>
      <c r="AE3" s="22"/>
      <c r="AF3" s="48"/>
    </row>
    <row r="4" spans="1:32" s="63" customFormat="1">
      <c r="A4" s="60"/>
      <c r="B4" s="60"/>
      <c r="C4" s="61" t="s">
        <v>48</v>
      </c>
      <c r="D4" s="17"/>
      <c r="E4" s="17"/>
      <c r="F4" s="17"/>
      <c r="G4" s="17"/>
      <c r="H4" s="17"/>
      <c r="I4" s="189">
        <f>I5/I3</f>
        <v>2.7100037804460925E-2</v>
      </c>
      <c r="J4" s="189">
        <f>J5/J3</f>
        <v>2.7192001854055455E-2</v>
      </c>
      <c r="K4" s="189">
        <f>K5/K3</f>
        <v>2.7010673223986075E-2</v>
      </c>
      <c r="L4" s="189">
        <v>2.7099999999999999E-2</v>
      </c>
      <c r="M4" s="189">
        <f>M5/M3</f>
        <v>2.7271890086788275E-2</v>
      </c>
      <c r="N4" s="17"/>
      <c r="O4" s="17"/>
      <c r="P4" s="61">
        <f>P5/P3</f>
        <v>3.1932225515053585E-2</v>
      </c>
      <c r="S4" s="62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62"/>
    </row>
    <row r="5" spans="1:32" s="68" customFormat="1">
      <c r="A5" s="64"/>
      <c r="B5" s="64"/>
      <c r="C5" s="65" t="s">
        <v>49</v>
      </c>
      <c r="D5" s="39"/>
      <c r="E5" s="229"/>
      <c r="F5" s="66"/>
      <c r="G5" s="66"/>
      <c r="H5" s="66"/>
      <c r="I5" s="426">
        <v>15053.8</v>
      </c>
      <c r="J5" s="426">
        <v>13962.25</v>
      </c>
      <c r="K5" s="426">
        <v>8194.39</v>
      </c>
      <c r="L5" s="426">
        <v>8194.39</v>
      </c>
      <c r="M5" s="461">
        <v>2931.81</v>
      </c>
      <c r="N5" s="39"/>
      <c r="O5" s="39"/>
      <c r="P5" s="65">
        <f>SUM(H5:M5)</f>
        <v>48336.639999999999</v>
      </c>
      <c r="S5" s="67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67"/>
    </row>
    <row r="6" spans="1:32">
      <c r="A6" s="69"/>
      <c r="B6" s="69"/>
      <c r="C6" s="69"/>
      <c r="D6" s="24"/>
      <c r="E6" s="24"/>
      <c r="F6" s="24"/>
      <c r="G6" s="24"/>
      <c r="H6" s="24"/>
      <c r="I6" s="24"/>
      <c r="J6" s="55"/>
      <c r="K6" s="24"/>
      <c r="L6" s="24"/>
      <c r="M6" s="24"/>
      <c r="N6" s="24"/>
      <c r="O6" s="24"/>
      <c r="T6" s="46"/>
      <c r="U6" s="10"/>
      <c r="V6" s="10"/>
      <c r="W6" s="10"/>
      <c r="X6" s="10"/>
      <c r="Y6" s="10"/>
      <c r="Z6" s="46"/>
      <c r="AA6" s="10"/>
      <c r="AB6" s="10"/>
      <c r="AC6" s="10"/>
      <c r="AD6" s="10"/>
      <c r="AE6" s="10"/>
      <c r="AF6" s="47"/>
    </row>
    <row r="7" spans="1:32">
      <c r="A7" s="56" t="s">
        <v>190</v>
      </c>
      <c r="B7" s="56" t="s">
        <v>925</v>
      </c>
      <c r="C7" s="57" t="s">
        <v>47</v>
      </c>
      <c r="D7" s="24"/>
      <c r="E7" s="24"/>
      <c r="F7" s="24"/>
      <c r="G7" s="24"/>
      <c r="H7" s="24"/>
      <c r="I7" s="195">
        <v>259870</v>
      </c>
      <c r="J7" s="195">
        <v>289755</v>
      </c>
      <c r="K7" s="195">
        <v>161106</v>
      </c>
      <c r="L7" s="195">
        <v>148782</v>
      </c>
      <c r="M7" s="24"/>
      <c r="N7" s="24"/>
      <c r="O7" s="24"/>
      <c r="T7" s="46"/>
      <c r="U7" s="10"/>
      <c r="V7" s="10"/>
      <c r="W7" s="10"/>
      <c r="X7" s="10"/>
      <c r="Y7" s="10"/>
      <c r="Z7" s="46"/>
      <c r="AA7" s="10"/>
      <c r="AB7" s="10"/>
      <c r="AC7" s="10"/>
      <c r="AD7" s="10"/>
      <c r="AE7" s="10"/>
      <c r="AF7" s="47"/>
    </row>
    <row r="8" spans="1:32">
      <c r="A8" s="69"/>
      <c r="B8" s="60"/>
      <c r="C8" s="61" t="s">
        <v>48</v>
      </c>
      <c r="D8" s="24"/>
      <c r="E8" s="24"/>
      <c r="F8" s="24"/>
      <c r="G8" s="24"/>
      <c r="H8" s="24"/>
      <c r="I8" s="189">
        <f>I9/I7</f>
        <v>2.7100011544233655E-2</v>
      </c>
      <c r="J8" s="189">
        <f>J9/J7</f>
        <v>2.7099998274404236E-2</v>
      </c>
      <c r="K8" s="189">
        <f>K9/K7</f>
        <v>2.710004593249165E-2</v>
      </c>
      <c r="L8" s="432">
        <v>2.7099999999999999E-2</v>
      </c>
      <c r="M8" s="24"/>
      <c r="N8" s="24"/>
      <c r="O8" s="24"/>
      <c r="T8" s="46"/>
      <c r="U8" s="10"/>
      <c r="V8" s="10"/>
      <c r="W8" s="10"/>
      <c r="X8" s="10"/>
      <c r="Y8" s="10"/>
      <c r="Z8" s="46"/>
      <c r="AA8" s="10"/>
      <c r="AB8" s="10"/>
      <c r="AC8" s="10"/>
      <c r="AD8" s="10"/>
      <c r="AE8" s="10"/>
      <c r="AF8" s="47"/>
    </row>
    <row r="9" spans="1:32">
      <c r="A9" s="69"/>
      <c r="B9" s="64"/>
      <c r="C9" s="65" t="s">
        <v>49</v>
      </c>
      <c r="D9" s="24"/>
      <c r="E9" s="24"/>
      <c r="F9" s="24"/>
      <c r="G9" s="24"/>
      <c r="H9" s="24"/>
      <c r="I9" s="190">
        <v>7042.48</v>
      </c>
      <c r="J9" s="190">
        <v>7852.36</v>
      </c>
      <c r="K9" s="190">
        <v>4365.9799999999996</v>
      </c>
      <c r="L9" s="190">
        <v>4365.9799999999996</v>
      </c>
      <c r="M9" s="24"/>
      <c r="N9" s="24"/>
      <c r="O9" s="24"/>
      <c r="T9" s="46"/>
      <c r="U9" s="10"/>
      <c r="V9" s="10"/>
      <c r="W9" s="10"/>
      <c r="X9" s="10"/>
      <c r="Y9" s="10"/>
      <c r="Z9" s="46"/>
      <c r="AA9" s="10"/>
      <c r="AB9" s="10"/>
      <c r="AC9" s="10"/>
      <c r="AD9" s="10"/>
      <c r="AE9" s="10"/>
      <c r="AF9" s="47"/>
    </row>
    <row r="10" spans="1:32">
      <c r="A10" s="69"/>
      <c r="B10" s="69"/>
      <c r="C10" s="69"/>
      <c r="D10" s="24"/>
      <c r="E10" s="24"/>
      <c r="F10" s="24"/>
      <c r="G10" s="24"/>
      <c r="H10" s="24"/>
      <c r="I10" s="24"/>
      <c r="J10" s="55"/>
      <c r="K10" s="24"/>
      <c r="L10" s="24"/>
      <c r="M10" s="24"/>
      <c r="N10" s="24"/>
      <c r="O10" s="24"/>
      <c r="T10" s="46"/>
      <c r="U10" s="10"/>
      <c r="V10" s="10"/>
      <c r="W10" s="10"/>
      <c r="X10" s="10"/>
      <c r="Y10" s="10"/>
      <c r="Z10" s="46"/>
      <c r="AA10" s="10"/>
      <c r="AB10" s="10"/>
      <c r="AC10" s="10"/>
      <c r="AD10" s="10"/>
      <c r="AE10" s="10"/>
      <c r="AF10" s="47"/>
    </row>
    <row r="11" spans="1:32">
      <c r="A11" s="69" t="s">
        <v>190</v>
      </c>
      <c r="B11" s="69" t="s">
        <v>255</v>
      </c>
      <c r="C11" s="70" t="s">
        <v>47</v>
      </c>
      <c r="D11" s="404">
        <v>137771</v>
      </c>
      <c r="E11" s="404">
        <v>137771</v>
      </c>
      <c r="F11" s="404">
        <v>131421</v>
      </c>
      <c r="G11" s="404">
        <v>167937</v>
      </c>
      <c r="H11" s="407">
        <v>3011</v>
      </c>
      <c r="I11" s="57"/>
      <c r="J11" s="57"/>
      <c r="K11" s="407">
        <v>2390</v>
      </c>
      <c r="L11" s="57"/>
      <c r="M11" s="462">
        <v>66660</v>
      </c>
      <c r="N11" s="462">
        <v>162471</v>
      </c>
      <c r="O11" s="462">
        <v>176550</v>
      </c>
      <c r="P11" s="57">
        <f>SUM(D11:O11)</f>
        <v>985982</v>
      </c>
      <c r="S11" s="47"/>
      <c r="T11" s="48"/>
      <c r="U11" s="48"/>
      <c r="V11" s="22"/>
      <c r="W11" s="22"/>
      <c r="X11" s="48"/>
      <c r="Y11" s="48"/>
      <c r="Z11" s="48"/>
      <c r="AA11" s="72"/>
      <c r="AB11" s="48"/>
      <c r="AC11" s="48"/>
      <c r="AD11" s="48"/>
      <c r="AE11" s="48"/>
      <c r="AF11" s="48"/>
    </row>
    <row r="12" spans="1:32" s="63" customFormat="1">
      <c r="A12" s="60"/>
      <c r="B12" s="60"/>
      <c r="C12" s="61" t="s">
        <v>48</v>
      </c>
      <c r="D12" s="405">
        <f>D13/D11</f>
        <v>2.0698884380602595E-2</v>
      </c>
      <c r="E12" s="405">
        <f>E13/E11</f>
        <v>1.8336340739342823E-2</v>
      </c>
      <c r="F12" s="405">
        <f>F13/F11</f>
        <v>2.0999999999999998E-2</v>
      </c>
      <c r="G12" s="405">
        <f>G13/G11</f>
        <v>2.1000017863841796E-2</v>
      </c>
      <c r="H12" s="405">
        <f>H13/H11</f>
        <v>2.4199999999999996E-2</v>
      </c>
      <c r="I12" s="73"/>
      <c r="J12" s="73"/>
      <c r="K12" s="405">
        <f>K13/K11</f>
        <v>2.4200836820083685E-2</v>
      </c>
      <c r="L12" s="73"/>
      <c r="M12" s="463">
        <f>M13/M11</f>
        <v>2.41999699969997E-2</v>
      </c>
      <c r="N12" s="463">
        <v>2.4199999999999999E-2</v>
      </c>
      <c r="O12" s="463">
        <v>2.4199999999999999E-2</v>
      </c>
      <c r="P12" s="61">
        <f>+P13/P11</f>
        <v>2.1919900566136102E-2</v>
      </c>
      <c r="S12" s="62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62"/>
    </row>
    <row r="13" spans="1:32">
      <c r="A13" s="69"/>
      <c r="B13" s="69"/>
      <c r="C13" s="70" t="s">
        <v>49</v>
      </c>
      <c r="D13" s="406">
        <v>2851.7060000000001</v>
      </c>
      <c r="E13" s="406">
        <v>2526.2159999999999</v>
      </c>
      <c r="F13" s="406">
        <v>2759.8409999999999</v>
      </c>
      <c r="G13" s="406">
        <v>3526.68</v>
      </c>
      <c r="H13" s="406">
        <v>72.866199999999992</v>
      </c>
      <c r="I13" s="54"/>
      <c r="J13" s="54"/>
      <c r="K13" s="406">
        <v>57.84</v>
      </c>
      <c r="L13" s="54"/>
      <c r="M13" s="464">
        <v>1613.17</v>
      </c>
      <c r="N13" s="464">
        <f>N11*N12</f>
        <v>3931.7981999999997</v>
      </c>
      <c r="O13" s="464">
        <f>O11*O12</f>
        <v>4272.51</v>
      </c>
      <c r="P13" s="54">
        <f>SUM(D13:O13)</f>
        <v>21612.627400000005</v>
      </c>
      <c r="S13" s="47"/>
      <c r="T13" s="53"/>
      <c r="U13" s="53"/>
      <c r="V13" s="53"/>
      <c r="W13" s="53"/>
      <c r="X13" s="47"/>
      <c r="Y13" s="47"/>
      <c r="Z13" s="47"/>
      <c r="AA13" s="47"/>
      <c r="AB13" s="47"/>
      <c r="AC13" s="47"/>
      <c r="AD13" s="53"/>
      <c r="AE13" s="53"/>
      <c r="AF13" s="53"/>
    </row>
    <row r="14" spans="1:32">
      <c r="A14" s="69"/>
      <c r="B14" s="69"/>
      <c r="C14" s="70"/>
      <c r="S14" s="47"/>
      <c r="T14" s="53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</row>
    <row r="15" spans="1:32" s="78" customFormat="1">
      <c r="A15" s="75" t="s">
        <v>190</v>
      </c>
      <c r="B15" s="75" t="s">
        <v>256</v>
      </c>
      <c r="C15" s="76" t="s">
        <v>47</v>
      </c>
      <c r="D15" s="76"/>
      <c r="E15" s="76"/>
      <c r="F15" s="76"/>
      <c r="G15" s="76"/>
      <c r="H15" s="404">
        <v>10900</v>
      </c>
      <c r="I15" s="404">
        <v>342635</v>
      </c>
      <c r="J15" s="404">
        <v>368648</v>
      </c>
      <c r="K15" s="430">
        <f>146469+38609</f>
        <v>185078</v>
      </c>
      <c r="L15" s="430">
        <v>187218</v>
      </c>
      <c r="M15" s="465">
        <v>18943</v>
      </c>
      <c r="N15" s="76"/>
      <c r="O15" s="76"/>
      <c r="P15" s="76">
        <f>SUM(D15:O15)</f>
        <v>1113422</v>
      </c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</row>
    <row r="16" spans="1:32" s="84" customFormat="1">
      <c r="A16" s="79"/>
      <c r="B16" s="79"/>
      <c r="C16" s="80" t="s">
        <v>48</v>
      </c>
      <c r="D16" s="338"/>
      <c r="E16" s="17"/>
      <c r="F16" s="17"/>
      <c r="G16" s="17"/>
      <c r="H16" s="422">
        <f t="shared" ref="H16:M16" si="0">H17/H15</f>
        <v>1.7999999999999999E-2</v>
      </c>
      <c r="I16" s="422">
        <f t="shared" si="0"/>
        <v>1.8000029185576485E-2</v>
      </c>
      <c r="J16" s="422">
        <f t="shared" si="0"/>
        <v>1.8000016275688462E-2</v>
      </c>
      <c r="K16" s="422">
        <f t="shared" si="0"/>
        <v>1.7999978387490682E-2</v>
      </c>
      <c r="L16" s="422">
        <f t="shared" si="0"/>
        <v>1.8000032048200491E-2</v>
      </c>
      <c r="M16" s="466">
        <f t="shared" si="0"/>
        <v>1.7999788840204825E-2</v>
      </c>
      <c r="N16" s="338"/>
      <c r="O16" s="338"/>
      <c r="P16" s="80">
        <f>+P17/P15</f>
        <v>1.8000012573848909E-2</v>
      </c>
      <c r="S16" s="83"/>
      <c r="T16" s="16"/>
      <c r="U16" s="16"/>
      <c r="V16" s="50"/>
      <c r="W16" s="50"/>
      <c r="X16" s="82"/>
      <c r="Y16" s="82"/>
      <c r="Z16" s="82"/>
      <c r="AA16" s="82"/>
      <c r="AB16" s="50"/>
      <c r="AC16" s="50"/>
      <c r="AD16" s="50"/>
      <c r="AE16" s="50"/>
      <c r="AF16" s="83"/>
    </row>
    <row r="17" spans="1:32" s="86" customFormat="1">
      <c r="A17" s="85"/>
      <c r="B17" s="85"/>
      <c r="C17" s="54" t="s">
        <v>49</v>
      </c>
      <c r="D17" s="54"/>
      <c r="E17" s="54"/>
      <c r="F17" s="54"/>
      <c r="G17" s="54"/>
      <c r="H17" s="361">
        <v>196.2</v>
      </c>
      <c r="I17" s="361">
        <v>6167.44</v>
      </c>
      <c r="J17" s="361">
        <v>6635.67</v>
      </c>
      <c r="K17" s="361">
        <f>2636.44+694.96</f>
        <v>3331.4</v>
      </c>
      <c r="L17" s="361">
        <v>3369.93</v>
      </c>
      <c r="M17" s="464">
        <v>340.97</v>
      </c>
      <c r="N17" s="54"/>
      <c r="O17" s="54"/>
      <c r="P17" s="54">
        <f>SUM(D17:O17)</f>
        <v>20041.61</v>
      </c>
      <c r="S17" s="53"/>
      <c r="T17" s="53"/>
      <c r="U17" s="53"/>
      <c r="V17" s="53"/>
      <c r="W17" s="53"/>
      <c r="X17" s="25"/>
      <c r="Y17" s="25"/>
      <c r="Z17" s="25"/>
      <c r="AA17" s="25"/>
      <c r="AB17" s="53"/>
      <c r="AC17" s="53"/>
      <c r="AD17" s="53"/>
      <c r="AE17" s="53"/>
      <c r="AF17" s="53"/>
    </row>
    <row r="18" spans="1:32" s="86" customFormat="1">
      <c r="C18" s="53"/>
      <c r="D18" s="54"/>
      <c r="E18" s="54"/>
      <c r="F18" s="54"/>
      <c r="G18" s="54"/>
      <c r="H18" s="26"/>
      <c r="I18" s="26"/>
      <c r="J18" s="26"/>
      <c r="K18" s="26"/>
      <c r="L18" s="54"/>
      <c r="M18" s="54"/>
      <c r="N18" s="54"/>
      <c r="O18" s="54"/>
      <c r="P18" s="54"/>
      <c r="S18" s="53"/>
      <c r="T18" s="53"/>
      <c r="U18" s="53"/>
      <c r="V18" s="53"/>
      <c r="W18" s="53"/>
      <c r="X18" s="25"/>
      <c r="Y18" s="25"/>
      <c r="Z18" s="25"/>
      <c r="AA18" s="25"/>
      <c r="AB18" s="53"/>
      <c r="AC18" s="53"/>
      <c r="AD18" s="53"/>
      <c r="AE18" s="53"/>
      <c r="AF18" s="53"/>
    </row>
    <row r="19" spans="1:32">
      <c r="A19" s="44" t="s">
        <v>44</v>
      </c>
      <c r="B19" s="44" t="s">
        <v>878</v>
      </c>
      <c r="C19" s="47" t="s">
        <v>47</v>
      </c>
      <c r="D19" s="467">
        <f>11501+248</f>
        <v>11749</v>
      </c>
      <c r="E19" s="467">
        <v>11749</v>
      </c>
      <c r="F19" s="467">
        <v>11130</v>
      </c>
      <c r="G19" s="467">
        <v>11501</v>
      </c>
      <c r="H19" s="467">
        <v>11370</v>
      </c>
      <c r="I19" s="467">
        <v>11749</v>
      </c>
      <c r="J19" s="467">
        <v>10991</v>
      </c>
      <c r="K19" s="467">
        <v>10612</v>
      </c>
      <c r="L19" s="467">
        <v>10618</v>
      </c>
      <c r="M19" s="467">
        <v>11880</v>
      </c>
      <c r="N19" s="467">
        <v>11749</v>
      </c>
      <c r="O19" s="57"/>
      <c r="P19" s="57">
        <f>SUM(D19:O19)</f>
        <v>125098</v>
      </c>
      <c r="S19" s="47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</row>
    <row r="20" spans="1:32" s="63" customFormat="1">
      <c r="C20" s="62" t="s">
        <v>48</v>
      </c>
      <c r="D20" s="463">
        <f t="shared" ref="D20:N20" si="1">0.04098</f>
        <v>4.0980000000000003E-2</v>
      </c>
      <c r="E20" s="463">
        <f t="shared" si="1"/>
        <v>4.0980000000000003E-2</v>
      </c>
      <c r="F20" s="463">
        <f t="shared" si="1"/>
        <v>4.0980000000000003E-2</v>
      </c>
      <c r="G20" s="463">
        <f t="shared" si="1"/>
        <v>4.0980000000000003E-2</v>
      </c>
      <c r="H20" s="463">
        <f t="shared" si="1"/>
        <v>4.0980000000000003E-2</v>
      </c>
      <c r="I20" s="463">
        <f t="shared" si="1"/>
        <v>4.0980000000000003E-2</v>
      </c>
      <c r="J20" s="463">
        <f t="shared" si="1"/>
        <v>4.0980000000000003E-2</v>
      </c>
      <c r="K20" s="463">
        <f t="shared" si="1"/>
        <v>4.0980000000000003E-2</v>
      </c>
      <c r="L20" s="463">
        <f t="shared" si="1"/>
        <v>4.0980000000000003E-2</v>
      </c>
      <c r="M20" s="463">
        <f t="shared" si="1"/>
        <v>4.0980000000000003E-2</v>
      </c>
      <c r="N20" s="463">
        <f t="shared" si="1"/>
        <v>4.0980000000000003E-2</v>
      </c>
      <c r="O20" s="73"/>
      <c r="P20" s="61"/>
      <c r="S20" s="62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62"/>
    </row>
    <row r="21" spans="1:32">
      <c r="C21" s="47" t="s">
        <v>49</v>
      </c>
      <c r="D21" s="464">
        <f t="shared" ref="D21:N21" si="2">D19*D20</f>
        <v>481.47402000000005</v>
      </c>
      <c r="E21" s="464">
        <f t="shared" si="2"/>
        <v>481.47402000000005</v>
      </c>
      <c r="F21" s="464">
        <f t="shared" si="2"/>
        <v>456.10740000000004</v>
      </c>
      <c r="G21" s="464">
        <f t="shared" si="2"/>
        <v>471.31098000000003</v>
      </c>
      <c r="H21" s="464">
        <f t="shared" si="2"/>
        <v>465.94260000000003</v>
      </c>
      <c r="I21" s="464">
        <f t="shared" si="2"/>
        <v>481.47402000000005</v>
      </c>
      <c r="J21" s="464">
        <f t="shared" si="2"/>
        <v>450.41118</v>
      </c>
      <c r="K21" s="464">
        <f t="shared" si="2"/>
        <v>434.87976000000003</v>
      </c>
      <c r="L21" s="464">
        <f t="shared" si="2"/>
        <v>435.12564000000003</v>
      </c>
      <c r="M21" s="464">
        <f t="shared" si="2"/>
        <v>486.84240000000005</v>
      </c>
      <c r="N21" s="464">
        <f t="shared" si="2"/>
        <v>481.47402000000005</v>
      </c>
      <c r="O21" s="54"/>
      <c r="P21" s="54">
        <f>SUM(D21:O21)</f>
        <v>5126.5160400000004</v>
      </c>
      <c r="S21" s="47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</row>
    <row r="22" spans="1:32">
      <c r="C22" s="47"/>
      <c r="L22" s="339"/>
      <c r="P22" s="54"/>
      <c r="S22" s="47"/>
      <c r="T22" s="53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53"/>
    </row>
    <row r="23" spans="1:32">
      <c r="A23" s="87" t="s">
        <v>190</v>
      </c>
      <c r="B23" s="87" t="s">
        <v>0</v>
      </c>
      <c r="C23" s="47" t="s">
        <v>47</v>
      </c>
      <c r="D23" s="57">
        <f t="shared" ref="D23:I23" si="3">SUM(D3,D11,D15,D19)</f>
        <v>149520</v>
      </c>
      <c r="E23" s="57">
        <f t="shared" si="3"/>
        <v>149520</v>
      </c>
      <c r="F23" s="57">
        <f t="shared" si="3"/>
        <v>142551</v>
      </c>
      <c r="G23" s="57">
        <f t="shared" si="3"/>
        <v>179438</v>
      </c>
      <c r="H23" s="57">
        <f t="shared" si="3"/>
        <v>25281</v>
      </c>
      <c r="I23" s="57">
        <f t="shared" si="3"/>
        <v>909874</v>
      </c>
      <c r="J23" s="57">
        <f>SUM(J3,J11,J15,J19)</f>
        <v>893108</v>
      </c>
      <c r="K23" s="57">
        <f>SUM(K3,K11,K15,K19)</f>
        <v>501456</v>
      </c>
      <c r="L23" s="57">
        <f>SUM(L3,L11,L15,L19)</f>
        <v>231724</v>
      </c>
      <c r="M23" s="57">
        <f>SUM(M3,M11,M15,M19)</f>
        <v>204986</v>
      </c>
      <c r="N23" s="57">
        <f>SUM(N3,N11,N15,N19)</f>
        <v>174220</v>
      </c>
      <c r="O23" s="57"/>
      <c r="P23" s="57">
        <f>SUM(D23:O23)</f>
        <v>3561678</v>
      </c>
      <c r="Q23" s="87"/>
      <c r="R23" s="87"/>
      <c r="S23" s="47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</row>
    <row r="24" spans="1:32">
      <c r="C24" s="47" t="s">
        <v>49</v>
      </c>
      <c r="D24" s="57">
        <f t="shared" ref="D24:I24" si="4">SUM(D5,D13,D17,D21)</f>
        <v>3333.1800200000002</v>
      </c>
      <c r="E24" s="57">
        <f t="shared" si="4"/>
        <v>3007.69002</v>
      </c>
      <c r="F24" s="57">
        <f t="shared" si="4"/>
        <v>3215.9483999999998</v>
      </c>
      <c r="G24" s="57">
        <f t="shared" si="4"/>
        <v>3997.99098</v>
      </c>
      <c r="H24" s="57">
        <f t="shared" si="4"/>
        <v>735.00880000000006</v>
      </c>
      <c r="I24" s="57">
        <f t="shared" si="4"/>
        <v>21702.714019999999</v>
      </c>
      <c r="J24" s="57">
        <f>SUM(J5,J13,J17,J21)</f>
        <v>21048.331179999997</v>
      </c>
      <c r="K24" s="57">
        <f>SUM(K5,K13,K17,K21)</f>
        <v>12018.509759999999</v>
      </c>
      <c r="L24" s="57">
        <f>SUM(L5,L13,L17,L21)</f>
        <v>11999.44564</v>
      </c>
      <c r="M24" s="57">
        <f>SUM(M5,M13,M17,M21)</f>
        <v>5372.7924000000003</v>
      </c>
      <c r="N24" s="57">
        <f>SUM(N5,N13,N17,N21)</f>
        <v>4413.2722199999998</v>
      </c>
      <c r="O24" s="57"/>
      <c r="P24" s="54">
        <f>SUM(D24:O24)</f>
        <v>90844.883440000005</v>
      </c>
      <c r="S24" s="47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53"/>
    </row>
    <row r="25" spans="1:32">
      <c r="C25" s="47" t="s">
        <v>48</v>
      </c>
      <c r="D25" s="320">
        <f t="shared" ref="D25:L25" si="5">+D24/D23</f>
        <v>2.2292536249331196E-2</v>
      </c>
      <c r="E25" s="320">
        <f t="shared" si="5"/>
        <v>2.0115636837881219E-2</v>
      </c>
      <c r="F25" s="320">
        <f t="shared" si="5"/>
        <v>2.2559984847528251E-2</v>
      </c>
      <c r="G25" s="320">
        <f t="shared" si="5"/>
        <v>2.2280626065827751E-2</v>
      </c>
      <c r="H25" s="320">
        <f t="shared" si="5"/>
        <v>2.9073565127961713E-2</v>
      </c>
      <c r="I25" s="320">
        <f t="shared" si="5"/>
        <v>2.3852438931104746E-2</v>
      </c>
      <c r="J25" s="320">
        <f t="shared" si="5"/>
        <v>2.3567509394160614E-2</v>
      </c>
      <c r="K25" s="320">
        <f t="shared" si="5"/>
        <v>2.3967226955106728E-2</v>
      </c>
      <c r="L25" s="320">
        <f t="shared" si="5"/>
        <v>5.1783352781757608E-2</v>
      </c>
      <c r="M25" s="320">
        <f t="shared" ref="M25:N25" si="6">+M24/M23</f>
        <v>2.6210533402281133E-2</v>
      </c>
      <c r="N25" s="320">
        <f t="shared" si="6"/>
        <v>2.5331604982206404E-2</v>
      </c>
      <c r="O25" s="320"/>
      <c r="P25" s="320">
        <f>+P24/P23</f>
        <v>2.5506203379418353E-2</v>
      </c>
      <c r="S25" s="47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</row>
    <row r="26" spans="1:32">
      <c r="C26" s="47"/>
      <c r="P26" s="54"/>
      <c r="S26" s="47"/>
      <c r="T26" s="53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53"/>
    </row>
    <row r="27" spans="1:32">
      <c r="C27" s="47"/>
      <c r="S27" s="47"/>
      <c r="T27" s="53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</row>
    <row r="28" spans="1:32">
      <c r="A28" s="44" t="s">
        <v>43</v>
      </c>
      <c r="B28" s="44" t="s">
        <v>257</v>
      </c>
      <c r="C28" s="47" t="s">
        <v>47</v>
      </c>
      <c r="D28" s="407">
        <v>988218</v>
      </c>
      <c r="E28" s="407">
        <v>988032</v>
      </c>
      <c r="F28" s="407">
        <v>495510</v>
      </c>
      <c r="G28" s="407">
        <v>562208</v>
      </c>
      <c r="H28" s="407">
        <v>1167746</v>
      </c>
      <c r="I28" s="407">
        <v>1533535</v>
      </c>
      <c r="J28" s="407">
        <v>1540765</v>
      </c>
      <c r="K28" s="407">
        <v>1015003</v>
      </c>
      <c r="L28" s="407">
        <v>809522</v>
      </c>
      <c r="M28" s="467">
        <v>791099</v>
      </c>
      <c r="N28" s="467">
        <v>789969</v>
      </c>
      <c r="O28" s="467">
        <v>582109</v>
      </c>
      <c r="P28" s="57">
        <f>SUM(D28:O28)</f>
        <v>11263716</v>
      </c>
      <c r="S28" s="47"/>
      <c r="T28" s="57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</row>
    <row r="29" spans="1:32" s="84" customFormat="1">
      <c r="C29" s="83" t="s">
        <v>48</v>
      </c>
      <c r="D29" s="51">
        <v>1.89E-2</v>
      </c>
      <c r="E29" s="51">
        <v>1.89E-2</v>
      </c>
      <c r="F29" s="51">
        <v>1.89E-2</v>
      </c>
      <c r="G29" s="51">
        <v>1.89E-2</v>
      </c>
      <c r="H29" s="51">
        <v>1.89E-2</v>
      </c>
      <c r="I29" s="51">
        <v>1.89E-2</v>
      </c>
      <c r="J29" s="51">
        <v>1.89E-2</v>
      </c>
      <c r="K29" s="51">
        <v>1.89E-2</v>
      </c>
      <c r="L29" s="51">
        <v>1.89E-2</v>
      </c>
      <c r="M29" s="51">
        <v>1.89E-2</v>
      </c>
      <c r="N29" s="51">
        <v>1.89E-2</v>
      </c>
      <c r="O29" s="51">
        <v>1.89E-2</v>
      </c>
      <c r="P29" s="80">
        <f>+P30/P28</f>
        <v>1.8899999999999997E-2</v>
      </c>
      <c r="S29" s="83"/>
      <c r="T29" s="51"/>
      <c r="U29" s="51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83"/>
    </row>
    <row r="30" spans="1:32">
      <c r="C30" s="47" t="s">
        <v>49</v>
      </c>
      <c r="D30" s="54">
        <f t="shared" ref="D30:L30" si="7">D28*D29</f>
        <v>18677.320200000002</v>
      </c>
      <c r="E30" s="54">
        <f t="shared" si="7"/>
        <v>18673.804800000002</v>
      </c>
      <c r="F30" s="54">
        <f t="shared" si="7"/>
        <v>9365.1389999999992</v>
      </c>
      <c r="G30" s="54">
        <f t="shared" si="7"/>
        <v>10625.7312</v>
      </c>
      <c r="H30" s="54">
        <f t="shared" si="7"/>
        <v>22070.399399999998</v>
      </c>
      <c r="I30" s="54">
        <f t="shared" si="7"/>
        <v>28983.8115</v>
      </c>
      <c r="J30" s="54">
        <f t="shared" si="7"/>
        <v>29120.458500000001</v>
      </c>
      <c r="K30" s="54">
        <f t="shared" si="7"/>
        <v>19183.556700000001</v>
      </c>
      <c r="L30" s="54">
        <f t="shared" si="7"/>
        <v>15299.9658</v>
      </c>
      <c r="M30" s="54">
        <f t="shared" ref="M30:N30" si="8">M28*M29</f>
        <v>14951.7711</v>
      </c>
      <c r="N30" s="54">
        <f t="shared" si="8"/>
        <v>14930.4141</v>
      </c>
      <c r="O30" s="54">
        <f t="shared" ref="O30" si="9">O28*O29</f>
        <v>11001.8601</v>
      </c>
      <c r="P30" s="54">
        <f>SUM(D30:O30)</f>
        <v>212884.23239999998</v>
      </c>
      <c r="S30" s="47"/>
      <c r="T30" s="54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</row>
    <row r="31" spans="1:32">
      <c r="C31" s="47"/>
      <c r="S31" s="47"/>
      <c r="T31" s="54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</row>
    <row r="32" spans="1:32">
      <c r="A32" s="44" t="s">
        <v>258</v>
      </c>
      <c r="B32" s="44" t="s">
        <v>259</v>
      </c>
      <c r="C32" s="47" t="s">
        <v>47</v>
      </c>
      <c r="D32" s="407">
        <v>967820</v>
      </c>
      <c r="E32" s="411">
        <v>967603</v>
      </c>
      <c r="F32" s="407">
        <v>485220</v>
      </c>
      <c r="G32" s="407">
        <v>550582</v>
      </c>
      <c r="H32" s="411">
        <v>1143672</v>
      </c>
      <c r="I32" s="411">
        <v>1501915</v>
      </c>
      <c r="J32" s="411">
        <v>1508998</v>
      </c>
      <c r="K32" s="407">
        <v>994068</v>
      </c>
      <c r="L32" s="407">
        <v>792839</v>
      </c>
      <c r="M32" s="467">
        <v>773480</v>
      </c>
      <c r="N32" s="467">
        <v>772370</v>
      </c>
      <c r="O32" s="467">
        <v>569137</v>
      </c>
      <c r="P32" s="57">
        <f>SUM(D32:O32)</f>
        <v>11027704</v>
      </c>
      <c r="S32" s="47"/>
      <c r="T32" s="57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</row>
    <row r="33" spans="1:32">
      <c r="C33" s="49" t="s">
        <v>48</v>
      </c>
      <c r="D33" s="51">
        <v>2.1600000000000001E-2</v>
      </c>
      <c r="E33" s="51">
        <v>2.1600000000000001E-2</v>
      </c>
      <c r="F33" s="51">
        <v>2.1600000000000001E-2</v>
      </c>
      <c r="G33" s="51">
        <v>2.1600000000000001E-2</v>
      </c>
      <c r="H33" s="51">
        <v>2.2599999999999999E-2</v>
      </c>
      <c r="I33" s="51">
        <v>2.2599999999999999E-2</v>
      </c>
      <c r="J33" s="51">
        <v>2.2599999999999999E-2</v>
      </c>
      <c r="K33" s="51">
        <v>2.2599999999999999E-2</v>
      </c>
      <c r="L33" s="51">
        <v>2.2599999999999999E-2</v>
      </c>
      <c r="M33" s="51">
        <v>2.2599999999999999E-2</v>
      </c>
      <c r="N33" s="51">
        <v>2.2599999999999999E-2</v>
      </c>
      <c r="O33" s="51">
        <v>2.2599999999999999E-2</v>
      </c>
      <c r="P33" s="340">
        <f>+P34/P32</f>
        <v>1.7996146722835508E-2</v>
      </c>
      <c r="S33" s="49"/>
      <c r="T33" s="89"/>
      <c r="U33" s="89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52"/>
    </row>
    <row r="34" spans="1:32">
      <c r="C34" s="47" t="s">
        <v>49</v>
      </c>
      <c r="D34" s="54">
        <f t="shared" ref="D34:L34" si="10">D32*D33</f>
        <v>20904.912</v>
      </c>
      <c r="E34" s="54">
        <f t="shared" si="10"/>
        <v>20900.2248</v>
      </c>
      <c r="F34" s="54">
        <f t="shared" si="10"/>
        <v>10480.752</v>
      </c>
      <c r="G34" s="54">
        <f t="shared" si="10"/>
        <v>11892.5712</v>
      </c>
      <c r="H34" s="54">
        <f t="shared" si="10"/>
        <v>25846.9872</v>
      </c>
      <c r="I34" s="54">
        <f t="shared" si="10"/>
        <v>33943.278999999995</v>
      </c>
      <c r="J34" s="54">
        <f t="shared" si="10"/>
        <v>34103.354800000001</v>
      </c>
      <c r="K34" s="54">
        <f t="shared" si="10"/>
        <v>22465.936799999999</v>
      </c>
      <c r="L34" s="54">
        <f t="shared" si="10"/>
        <v>17918.161399999997</v>
      </c>
      <c r="M34" s="54"/>
      <c r="N34" s="54"/>
      <c r="O34" s="54"/>
      <c r="P34" s="54">
        <f>SUM(D34:O34)</f>
        <v>198456.17920000001</v>
      </c>
      <c r="S34" s="47"/>
      <c r="T34" s="54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</row>
    <row r="35" spans="1:32">
      <c r="T35" s="91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</row>
    <row r="36" spans="1:32">
      <c r="A36" s="44" t="s">
        <v>258</v>
      </c>
      <c r="B36" s="44" t="s">
        <v>824</v>
      </c>
      <c r="C36" s="47" t="s">
        <v>47</v>
      </c>
      <c r="D36" s="407">
        <v>776501</v>
      </c>
      <c r="E36" s="407">
        <v>755008</v>
      </c>
      <c r="F36" s="407">
        <v>257269</v>
      </c>
      <c r="G36" s="407">
        <v>52987</v>
      </c>
      <c r="H36" s="407">
        <v>60117</v>
      </c>
      <c r="I36" s="407">
        <v>17517</v>
      </c>
      <c r="J36" s="407">
        <v>43122</v>
      </c>
      <c r="K36" s="407">
        <v>24972</v>
      </c>
      <c r="L36" s="407">
        <v>8808</v>
      </c>
      <c r="M36" s="467">
        <v>251904</v>
      </c>
      <c r="N36" s="467">
        <v>448973</v>
      </c>
      <c r="O36" s="467">
        <v>356570</v>
      </c>
      <c r="P36" s="57">
        <f>SUM(D36:O36)</f>
        <v>3053748</v>
      </c>
      <c r="S36" s="47"/>
      <c r="T36" s="57"/>
      <c r="U36" s="47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</row>
    <row r="37" spans="1:32">
      <c r="C37" s="49" t="s">
        <v>48</v>
      </c>
      <c r="D37" s="51">
        <v>2.24E-2</v>
      </c>
      <c r="E37" s="51">
        <v>2.24E-2</v>
      </c>
      <c r="F37" s="51">
        <v>2.24E-2</v>
      </c>
      <c r="G37" s="51">
        <v>2.24E-2</v>
      </c>
      <c r="H37" s="51">
        <v>2.24E-2</v>
      </c>
      <c r="I37" s="51">
        <v>2.24E-2</v>
      </c>
      <c r="J37" s="51">
        <v>2.24E-2</v>
      </c>
      <c r="K37" s="51">
        <v>2.24E-2</v>
      </c>
      <c r="L37" s="51">
        <v>2.24E-2</v>
      </c>
      <c r="M37" s="51">
        <v>2.24E-2</v>
      </c>
      <c r="N37" s="51">
        <v>2.24E-2</v>
      </c>
      <c r="O37" s="51">
        <v>2.24E-2</v>
      </c>
      <c r="P37" s="340">
        <f>+P38/P36</f>
        <v>2.24E-2</v>
      </c>
      <c r="S37" s="49"/>
      <c r="T37" s="51"/>
      <c r="U37" s="48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2"/>
    </row>
    <row r="38" spans="1:32">
      <c r="C38" s="47" t="s">
        <v>49</v>
      </c>
      <c r="D38" s="54">
        <f t="shared" ref="D38:I38" si="11">D36*D37</f>
        <v>17393.6224</v>
      </c>
      <c r="E38" s="54">
        <f t="shared" si="11"/>
        <v>16912.179199999999</v>
      </c>
      <c r="F38" s="54">
        <f t="shared" si="11"/>
        <v>5762.8256000000001</v>
      </c>
      <c r="G38" s="54">
        <f t="shared" si="11"/>
        <v>1186.9087999999999</v>
      </c>
      <c r="H38" s="54">
        <f t="shared" si="11"/>
        <v>1346.6207999999999</v>
      </c>
      <c r="I38" s="54">
        <f t="shared" si="11"/>
        <v>392.38080000000002</v>
      </c>
      <c r="J38" s="54">
        <f t="shared" ref="J38:O38" si="12">J36*J37</f>
        <v>965.93280000000004</v>
      </c>
      <c r="K38" s="54">
        <f t="shared" si="12"/>
        <v>559.37279999999998</v>
      </c>
      <c r="L38" s="54">
        <f t="shared" si="12"/>
        <v>197.29919999999998</v>
      </c>
      <c r="M38" s="54">
        <f t="shared" si="12"/>
        <v>5642.6495999999997</v>
      </c>
      <c r="N38" s="54">
        <f t="shared" si="12"/>
        <v>10056.995199999999</v>
      </c>
      <c r="O38" s="54">
        <f t="shared" si="12"/>
        <v>7987.1679999999997</v>
      </c>
      <c r="P38" s="54">
        <f>SUM(D38:O38)</f>
        <v>68403.955199999997</v>
      </c>
      <c r="S38" s="47"/>
      <c r="T38" s="54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</row>
    <row r="39" spans="1:32">
      <c r="T39" s="91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</row>
    <row r="40" spans="1:32">
      <c r="A40" s="44" t="s">
        <v>258</v>
      </c>
      <c r="B40" s="44" t="s">
        <v>260</v>
      </c>
      <c r="C40" s="47" t="s">
        <v>47</v>
      </c>
      <c r="D40" s="57"/>
      <c r="E40" s="57"/>
      <c r="F40" s="57"/>
      <c r="G40" s="407">
        <v>54102</v>
      </c>
      <c r="H40" s="407">
        <v>182593</v>
      </c>
      <c r="I40" s="407">
        <v>564835</v>
      </c>
      <c r="J40" s="407">
        <v>470134</v>
      </c>
      <c r="K40" s="407">
        <v>348286</v>
      </c>
      <c r="L40" s="407">
        <v>553568</v>
      </c>
      <c r="M40" s="467">
        <v>28890</v>
      </c>
      <c r="N40" s="57"/>
      <c r="O40" s="57"/>
      <c r="P40" s="57">
        <f>SUM(D40:O40)</f>
        <v>2202408</v>
      </c>
      <c r="S40" s="47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>
      <c r="C41" s="49" t="s">
        <v>48</v>
      </c>
      <c r="D41" s="51">
        <v>1.95E-2</v>
      </c>
      <c r="E41" s="51"/>
      <c r="F41" s="51"/>
      <c r="G41" s="51">
        <v>1.95E-2</v>
      </c>
      <c r="H41" s="51">
        <v>2.24E-2</v>
      </c>
      <c r="I41" s="51">
        <v>2.24E-2</v>
      </c>
      <c r="J41" s="51">
        <v>2.24E-2</v>
      </c>
      <c r="K41" s="51">
        <v>2.24E-2</v>
      </c>
      <c r="L41" s="51">
        <v>2.24E-2</v>
      </c>
      <c r="M41" s="51">
        <v>2.24E-2</v>
      </c>
      <c r="N41" s="51"/>
      <c r="O41" s="51"/>
      <c r="P41" s="340">
        <f>+P42/P40</f>
        <v>2.2328761700829272E-2</v>
      </c>
      <c r="S41" s="49"/>
      <c r="T41" s="51"/>
      <c r="U41" s="51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2"/>
    </row>
    <row r="42" spans="1:32">
      <c r="C42" s="47" t="s">
        <v>49</v>
      </c>
      <c r="D42" s="54">
        <f>D40*D41</f>
        <v>0</v>
      </c>
      <c r="E42" s="54"/>
      <c r="F42" s="54"/>
      <c r="G42" s="54">
        <f t="shared" ref="G42:L42" si="13">G40*G41</f>
        <v>1054.989</v>
      </c>
      <c r="H42" s="54">
        <f t="shared" si="13"/>
        <v>4090.0832</v>
      </c>
      <c r="I42" s="54">
        <f t="shared" si="13"/>
        <v>12652.304</v>
      </c>
      <c r="J42" s="54">
        <f t="shared" si="13"/>
        <v>10531.0016</v>
      </c>
      <c r="K42" s="54">
        <f t="shared" si="13"/>
        <v>7801.6063999999997</v>
      </c>
      <c r="L42" s="54">
        <f t="shared" si="13"/>
        <v>12399.923199999999</v>
      </c>
      <c r="M42" s="54">
        <f t="shared" ref="M42" si="14">M40*M41</f>
        <v>647.13599999999997</v>
      </c>
      <c r="N42" s="54"/>
      <c r="O42" s="54"/>
      <c r="P42" s="54">
        <f>SUM(D42:O42)</f>
        <v>49177.043399999995</v>
      </c>
      <c r="S42" s="47"/>
      <c r="T42" s="54"/>
      <c r="U42" s="53"/>
      <c r="V42" s="47"/>
      <c r="W42" s="53"/>
      <c r="X42" s="53"/>
      <c r="Y42" s="53"/>
      <c r="Z42" s="53"/>
      <c r="AA42" s="53"/>
      <c r="AB42" s="53"/>
      <c r="AC42" s="53"/>
      <c r="AD42" s="53"/>
      <c r="AE42" s="53"/>
      <c r="AF42" s="53"/>
    </row>
    <row r="43" spans="1:32">
      <c r="T43" s="91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</row>
    <row r="44" spans="1:32" s="58" customFormat="1">
      <c r="A44" s="58" t="s">
        <v>258</v>
      </c>
      <c r="B44" s="58" t="s">
        <v>261</v>
      </c>
      <c r="C44" s="48" t="s">
        <v>47</v>
      </c>
      <c r="D44" s="407">
        <v>776501</v>
      </c>
      <c r="E44" s="407">
        <v>755008</v>
      </c>
      <c r="F44" s="407">
        <v>257269</v>
      </c>
      <c r="G44" s="407">
        <v>52987</v>
      </c>
      <c r="H44" s="407">
        <v>60117</v>
      </c>
      <c r="I44" s="407">
        <v>17517</v>
      </c>
      <c r="J44" s="407">
        <v>43122</v>
      </c>
      <c r="K44" s="407">
        <v>24972</v>
      </c>
      <c r="L44" s="407">
        <v>8808</v>
      </c>
      <c r="M44" s="467">
        <v>251904</v>
      </c>
      <c r="N44" s="467">
        <v>448973</v>
      </c>
      <c r="O44" s="467">
        <v>356570</v>
      </c>
      <c r="P44" s="57">
        <f>SUM(D44:O44)</f>
        <v>3053748</v>
      </c>
      <c r="S44" s="48"/>
      <c r="T44" s="57"/>
      <c r="U44" s="57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</row>
    <row r="45" spans="1:32" s="92" customFormat="1">
      <c r="C45" s="52" t="s">
        <v>48</v>
      </c>
      <c r="D45" s="89">
        <v>1.5299999999999999E-2</v>
      </c>
      <c r="E45" s="89">
        <v>1.5299999999999999E-2</v>
      </c>
      <c r="F45" s="89">
        <v>1.5299999999999999E-2</v>
      </c>
      <c r="G45" s="89">
        <v>1.5299999999999999E-2</v>
      </c>
      <c r="H45" s="89">
        <v>1.5299999999999999E-2</v>
      </c>
      <c r="I45" s="89">
        <v>1.5299999999999999E-2</v>
      </c>
      <c r="J45" s="89">
        <v>1.5299999999999999E-2</v>
      </c>
      <c r="K45" s="89">
        <v>1.5299999999999999E-2</v>
      </c>
      <c r="L45" s="89">
        <v>1.5299999999999999E-2</v>
      </c>
      <c r="M45" s="89">
        <v>1.5299999999999999E-2</v>
      </c>
      <c r="N45" s="89">
        <v>1.5299999999999999E-2</v>
      </c>
      <c r="O45" s="89">
        <v>1.5299999999999999E-2</v>
      </c>
      <c r="P45" s="340">
        <f>+P46/P44</f>
        <v>1.5299999999999998E-2</v>
      </c>
      <c r="S45" s="52"/>
      <c r="T45" s="89"/>
      <c r="U45" s="89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52"/>
    </row>
    <row r="46" spans="1:32" s="86" customFormat="1">
      <c r="C46" s="53" t="s">
        <v>49</v>
      </c>
      <c r="D46" s="54">
        <f t="shared" ref="D46:L46" si="15">D44*D45</f>
        <v>11880.4653</v>
      </c>
      <c r="E46" s="54">
        <f t="shared" si="15"/>
        <v>11551.6224</v>
      </c>
      <c r="F46" s="54">
        <f t="shared" si="15"/>
        <v>3936.2156999999997</v>
      </c>
      <c r="G46" s="54">
        <f t="shared" si="15"/>
        <v>810.7011</v>
      </c>
      <c r="H46" s="54">
        <f t="shared" si="15"/>
        <v>919.79009999999994</v>
      </c>
      <c r="I46" s="54">
        <f t="shared" si="15"/>
        <v>268.01009999999997</v>
      </c>
      <c r="J46" s="54">
        <f t="shared" si="15"/>
        <v>659.76659999999993</v>
      </c>
      <c r="K46" s="54">
        <f t="shared" si="15"/>
        <v>382.07159999999999</v>
      </c>
      <c r="L46" s="54">
        <f t="shared" si="15"/>
        <v>134.76239999999999</v>
      </c>
      <c r="M46" s="54">
        <f t="shared" ref="M46:N46" si="16">M44*M45</f>
        <v>3854.1311999999998</v>
      </c>
      <c r="N46" s="54">
        <f t="shared" si="16"/>
        <v>6869.2869000000001</v>
      </c>
      <c r="O46" s="54">
        <f t="shared" ref="O46" si="17">O44*O45</f>
        <v>5455.5209999999997</v>
      </c>
      <c r="P46" s="54">
        <f>SUM(D46:O46)</f>
        <v>46722.344399999994</v>
      </c>
      <c r="S46" s="53"/>
      <c r="T46" s="54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</row>
    <row r="47" spans="1:32">
      <c r="T47" s="91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</row>
    <row r="48" spans="1:32" s="58" customFormat="1">
      <c r="A48" s="58" t="s">
        <v>258</v>
      </c>
      <c r="B48" s="58" t="s">
        <v>262</v>
      </c>
      <c r="C48" s="48" t="s">
        <v>47</v>
      </c>
      <c r="D48" s="57"/>
      <c r="E48" s="57"/>
      <c r="F48" s="57"/>
      <c r="G48" s="407">
        <v>54102</v>
      </c>
      <c r="H48" s="407">
        <v>182593</v>
      </c>
      <c r="I48" s="407">
        <v>564835</v>
      </c>
      <c r="J48" s="407">
        <v>470134</v>
      </c>
      <c r="K48" s="407">
        <v>348286</v>
      </c>
      <c r="L48" s="407">
        <v>553568</v>
      </c>
      <c r="M48" s="467">
        <v>28890</v>
      </c>
      <c r="N48" s="57"/>
      <c r="O48" s="57"/>
      <c r="P48" s="57">
        <f>SUM(D48:O48)</f>
        <v>2202408</v>
      </c>
      <c r="S48" s="48"/>
      <c r="T48" s="57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</row>
    <row r="49" spans="1:32" s="92" customFormat="1">
      <c r="C49" s="52" t="s">
        <v>48</v>
      </c>
      <c r="D49" s="89">
        <v>1.5299999999999999E-2</v>
      </c>
      <c r="E49" s="89"/>
      <c r="F49" s="89"/>
      <c r="G49" s="89">
        <v>1.5299999999999999E-2</v>
      </c>
      <c r="H49" s="89">
        <v>1.5299999999999999E-2</v>
      </c>
      <c r="I49" s="89">
        <v>1.5299999999999999E-2</v>
      </c>
      <c r="J49" s="89">
        <v>1.5299999999999999E-2</v>
      </c>
      <c r="K49" s="89">
        <v>1.5299999999999999E-2</v>
      </c>
      <c r="L49" s="89">
        <v>1.5299999999999999E-2</v>
      </c>
      <c r="M49" s="89">
        <v>1.5299999999999999E-2</v>
      </c>
      <c r="N49" s="89"/>
      <c r="O49" s="89"/>
      <c r="P49" s="340">
        <f>+P50/P48</f>
        <v>1.5299999999999998E-2</v>
      </c>
      <c r="S49" s="52"/>
      <c r="T49" s="89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52"/>
    </row>
    <row r="50" spans="1:32" s="86" customFormat="1">
      <c r="C50" s="53" t="s">
        <v>49</v>
      </c>
      <c r="D50" s="54">
        <f>D48*D49</f>
        <v>0</v>
      </c>
      <c r="E50" s="54"/>
      <c r="F50" s="54"/>
      <c r="G50" s="54">
        <f t="shared" ref="G50:L50" si="18">G48*G49</f>
        <v>827.76059999999995</v>
      </c>
      <c r="H50" s="54">
        <f t="shared" si="18"/>
        <v>2793.6729</v>
      </c>
      <c r="I50" s="54">
        <f t="shared" si="18"/>
        <v>8641.9755000000005</v>
      </c>
      <c r="J50" s="54">
        <f t="shared" si="18"/>
        <v>7193.0501999999997</v>
      </c>
      <c r="K50" s="54">
        <f t="shared" si="18"/>
        <v>5328.7757999999994</v>
      </c>
      <c r="L50" s="54">
        <f t="shared" si="18"/>
        <v>8469.5903999999991</v>
      </c>
      <c r="M50" s="54">
        <f t="shared" ref="M50" si="19">M48*M49</f>
        <v>442.017</v>
      </c>
      <c r="N50" s="54"/>
      <c r="O50" s="54"/>
      <c r="P50" s="54">
        <f>SUM(D50:O50)</f>
        <v>33696.842399999994</v>
      </c>
      <c r="S50" s="53"/>
      <c r="T50" s="54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</row>
    <row r="51" spans="1:32">
      <c r="T51" s="45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</row>
    <row r="52" spans="1:32">
      <c r="A52" s="87" t="s">
        <v>263</v>
      </c>
      <c r="B52" s="87" t="s">
        <v>0</v>
      </c>
      <c r="C52" s="47" t="s">
        <v>47</v>
      </c>
      <c r="D52" s="57">
        <f t="shared" ref="D52:I52" si="20">SUM(D28,D32,D36,D40,D44,D48)</f>
        <v>3509040</v>
      </c>
      <c r="E52" s="57">
        <f t="shared" si="20"/>
        <v>3465651</v>
      </c>
      <c r="F52" s="57">
        <f t="shared" si="20"/>
        <v>1495268</v>
      </c>
      <c r="G52" s="57">
        <f t="shared" si="20"/>
        <v>1326968</v>
      </c>
      <c r="H52" s="57">
        <f t="shared" si="20"/>
        <v>2796838</v>
      </c>
      <c r="I52" s="57">
        <f t="shared" si="20"/>
        <v>4200154</v>
      </c>
      <c r="J52" s="57">
        <f>SUM(J28,J32,J36,J40,J44,J48)</f>
        <v>4076275</v>
      </c>
      <c r="K52" s="57">
        <f>SUM(K28,K32,K36,K40,K44,K48)</f>
        <v>2755587</v>
      </c>
      <c r="L52" s="57">
        <f t="shared" ref="L52:M52" si="21">SUM(L28,L32,L36,L40,L44,L48)</f>
        <v>2727113</v>
      </c>
      <c r="M52" s="57">
        <f t="shared" si="21"/>
        <v>2126167</v>
      </c>
      <c r="N52" s="57">
        <f t="shared" ref="N52:O52" si="22">SUM(N28,N32,N36,N40,N44,N48)</f>
        <v>2460285</v>
      </c>
      <c r="O52" s="57">
        <f t="shared" si="22"/>
        <v>1864386</v>
      </c>
      <c r="P52" s="57">
        <f>SUM(D52:O52)</f>
        <v>32803732</v>
      </c>
      <c r="Q52" s="87"/>
      <c r="R52" s="87"/>
      <c r="S52" s="47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</row>
    <row r="53" spans="1:32">
      <c r="C53" s="47" t="s">
        <v>49</v>
      </c>
      <c r="D53" s="54">
        <f t="shared" ref="D53:I53" si="23">SUM(D30,D34,D38,D42,D46,D50)</f>
        <v>68856.319900000002</v>
      </c>
      <c r="E53" s="54">
        <f t="shared" si="23"/>
        <v>68037.831200000001</v>
      </c>
      <c r="F53" s="54">
        <f t="shared" si="23"/>
        <v>29544.9323</v>
      </c>
      <c r="G53" s="54">
        <f t="shared" si="23"/>
        <v>26398.661900000003</v>
      </c>
      <c r="H53" s="54">
        <f t="shared" si="23"/>
        <v>57067.553599999992</v>
      </c>
      <c r="I53" s="54">
        <f t="shared" si="23"/>
        <v>84881.760899999994</v>
      </c>
      <c r="J53" s="54">
        <f>SUM(J30,J34,J38,J42,J46,J50)</f>
        <v>82573.564500000008</v>
      </c>
      <c r="K53" s="54">
        <f>SUM(K30,K34,K38,K42,K46,K50)</f>
        <v>55721.320099999997</v>
      </c>
      <c r="L53" s="54">
        <f t="shared" ref="L53:M53" si="24">SUM(L30,L34,L38,L42,L46,L50)</f>
        <v>54419.702399999995</v>
      </c>
      <c r="M53" s="54">
        <f t="shared" si="24"/>
        <v>25537.704899999997</v>
      </c>
      <c r="N53" s="54">
        <f t="shared" ref="N53:O53" si="25">SUM(N30,N34,N38,N42,N46,N50)</f>
        <v>31856.696199999998</v>
      </c>
      <c r="O53" s="54">
        <f t="shared" si="25"/>
        <v>24444.5491</v>
      </c>
      <c r="P53" s="54">
        <f>SUM(D53:O53)</f>
        <v>609340.59699999995</v>
      </c>
      <c r="S53" s="47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</row>
    <row r="54" spans="1:32">
      <c r="C54" s="47" t="s">
        <v>48</v>
      </c>
      <c r="D54" s="320">
        <f t="shared" ref="D54:K54" si="26">+D53/D52</f>
        <v>1.9622552008526549E-2</v>
      </c>
      <c r="E54" s="320">
        <f t="shared" si="26"/>
        <v>1.9632049274436462E-2</v>
      </c>
      <c r="F54" s="320">
        <f t="shared" si="26"/>
        <v>1.975895444829957E-2</v>
      </c>
      <c r="G54" s="320">
        <f t="shared" si="26"/>
        <v>1.9893970238920609E-2</v>
      </c>
      <c r="H54" s="320">
        <f t="shared" si="26"/>
        <v>2.040431144027648E-2</v>
      </c>
      <c r="I54" s="320">
        <f t="shared" si="26"/>
        <v>2.0209202067352768E-2</v>
      </c>
      <c r="J54" s="320">
        <f t="shared" si="26"/>
        <v>2.0257113295839953E-2</v>
      </c>
      <c r="K54" s="320">
        <f t="shared" si="26"/>
        <v>2.0221216060316731E-2</v>
      </c>
      <c r="L54" s="320">
        <f t="shared" ref="L54:M54" si="27">+L53/L52</f>
        <v>1.995505958132281E-2</v>
      </c>
      <c r="M54" s="320">
        <f t="shared" si="27"/>
        <v>1.2011147242902366E-2</v>
      </c>
      <c r="N54" s="320">
        <f t="shared" ref="N54:O54" si="28">+N53/N52</f>
        <v>1.2948376387288464E-2</v>
      </c>
      <c r="O54" s="320">
        <f t="shared" si="28"/>
        <v>1.3111313376092719E-2</v>
      </c>
      <c r="P54" s="320">
        <f>+P53/P52</f>
        <v>1.8575343713940838E-2</v>
      </c>
      <c r="S54" s="47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</row>
    <row r="55" spans="1:32">
      <c r="T55" s="94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</row>
    <row r="56" spans="1:32">
      <c r="T56" s="94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</row>
    <row r="57" spans="1:32">
      <c r="A57" s="44" t="s">
        <v>44</v>
      </c>
      <c r="B57" s="44" t="s">
        <v>264</v>
      </c>
      <c r="C57" s="47" t="s">
        <v>47</v>
      </c>
      <c r="D57" s="407">
        <v>310917</v>
      </c>
      <c r="E57" s="407">
        <v>310992</v>
      </c>
      <c r="F57" s="407">
        <v>300960</v>
      </c>
      <c r="G57" s="407">
        <v>310992</v>
      </c>
      <c r="H57" s="407">
        <v>300960</v>
      </c>
      <c r="I57" s="407">
        <v>310992</v>
      </c>
      <c r="J57" s="407">
        <v>65992</v>
      </c>
      <c r="K57" s="407">
        <v>130836</v>
      </c>
      <c r="L57" s="407">
        <v>280992</v>
      </c>
      <c r="M57" s="467">
        <v>311700</v>
      </c>
      <c r="N57" s="467">
        <v>310992</v>
      </c>
      <c r="O57" s="467">
        <v>300960</v>
      </c>
      <c r="P57" s="57">
        <f>SUM(D57:O57)</f>
        <v>3247285</v>
      </c>
      <c r="S57" s="47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</row>
    <row r="58" spans="1:32" s="63" customFormat="1">
      <c r="C58" s="62" t="s">
        <v>48</v>
      </c>
      <c r="D58" s="73">
        <v>3.1530000000000002E-2</v>
      </c>
      <c r="E58" s="73">
        <v>3.1530000000000002E-2</v>
      </c>
      <c r="F58" s="73">
        <v>3.1530000000000002E-2</v>
      </c>
      <c r="G58" s="73">
        <v>3.1530000000000002E-2</v>
      </c>
      <c r="H58" s="73">
        <v>3.1530000000000002E-2</v>
      </c>
      <c r="I58" s="73">
        <v>3.1530000000000002E-2</v>
      </c>
      <c r="J58" s="73">
        <v>3.1530000000000002E-2</v>
      </c>
      <c r="K58" s="73">
        <v>3.1530000000000002E-2</v>
      </c>
      <c r="L58" s="73">
        <v>3.1530000000000002E-2</v>
      </c>
      <c r="M58" s="73">
        <v>3.1530000000000002E-2</v>
      </c>
      <c r="N58" s="73">
        <v>3.1530000000000002E-2</v>
      </c>
      <c r="O58" s="73">
        <v>3.1530000000000002E-2</v>
      </c>
      <c r="P58" s="61"/>
      <c r="S58" s="62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62"/>
    </row>
    <row r="59" spans="1:32">
      <c r="C59" s="47" t="s">
        <v>49</v>
      </c>
      <c r="D59" s="54">
        <f t="shared" ref="D59:L59" si="29">D57*D58</f>
        <v>9803.2130100000013</v>
      </c>
      <c r="E59" s="54">
        <f t="shared" si="29"/>
        <v>9805.5777600000001</v>
      </c>
      <c r="F59" s="54">
        <f t="shared" si="29"/>
        <v>9489.2688000000016</v>
      </c>
      <c r="G59" s="54">
        <f t="shared" si="29"/>
        <v>9805.5777600000001</v>
      </c>
      <c r="H59" s="54">
        <f t="shared" si="29"/>
        <v>9489.2688000000016</v>
      </c>
      <c r="I59" s="54">
        <f t="shared" si="29"/>
        <v>9805.5777600000001</v>
      </c>
      <c r="J59" s="54">
        <f t="shared" si="29"/>
        <v>2080.7277600000002</v>
      </c>
      <c r="K59" s="54">
        <f t="shared" si="29"/>
        <v>4125.2590800000007</v>
      </c>
      <c r="L59" s="54">
        <f t="shared" si="29"/>
        <v>8859.6777600000005</v>
      </c>
      <c r="M59" s="54">
        <f t="shared" ref="M59:O59" si="30">M57*M58</f>
        <v>9827.9010000000017</v>
      </c>
      <c r="N59" s="54">
        <f t="shared" si="30"/>
        <v>9805.5777600000001</v>
      </c>
      <c r="O59" s="54">
        <f t="shared" si="30"/>
        <v>9489.2688000000016</v>
      </c>
      <c r="P59" s="54">
        <f>SUM(D59:O59)</f>
        <v>102386.89605000001</v>
      </c>
      <c r="S59" s="47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</row>
    <row r="60" spans="1:32">
      <c r="C60" s="47"/>
      <c r="L60" s="339"/>
      <c r="P60" s="54"/>
      <c r="S60" s="47"/>
      <c r="T60" s="94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53"/>
    </row>
    <row r="61" spans="1:32">
      <c r="T61" s="45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</row>
    <row r="62" spans="1:32">
      <c r="A62" s="87" t="s">
        <v>44</v>
      </c>
      <c r="B62" s="87" t="s">
        <v>0</v>
      </c>
      <c r="C62" s="47" t="s">
        <v>47</v>
      </c>
      <c r="D62" s="57">
        <f t="shared" ref="D62:I62" si="31">D57</f>
        <v>310917</v>
      </c>
      <c r="E62" s="57">
        <f t="shared" si="31"/>
        <v>310992</v>
      </c>
      <c r="F62" s="57">
        <f t="shared" si="31"/>
        <v>300960</v>
      </c>
      <c r="G62" s="57">
        <f t="shared" si="31"/>
        <v>310992</v>
      </c>
      <c r="H62" s="57">
        <f t="shared" si="31"/>
        <v>300960</v>
      </c>
      <c r="I62" s="57">
        <f t="shared" si="31"/>
        <v>310992</v>
      </c>
      <c r="J62" s="57">
        <f t="shared" ref="J62:O62" si="32">J57</f>
        <v>65992</v>
      </c>
      <c r="K62" s="57">
        <f t="shared" si="32"/>
        <v>130836</v>
      </c>
      <c r="L62" s="57">
        <f t="shared" si="32"/>
        <v>280992</v>
      </c>
      <c r="M62" s="57">
        <f t="shared" si="32"/>
        <v>311700</v>
      </c>
      <c r="N62" s="57">
        <f t="shared" si="32"/>
        <v>310992</v>
      </c>
      <c r="O62" s="57">
        <f t="shared" si="32"/>
        <v>300960</v>
      </c>
      <c r="P62" s="57">
        <f>SUM(D62:O62)</f>
        <v>3247285</v>
      </c>
      <c r="Q62" s="87"/>
      <c r="R62" s="87"/>
      <c r="S62" s="47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</row>
    <row r="63" spans="1:32">
      <c r="C63" s="47" t="s">
        <v>49</v>
      </c>
      <c r="D63" s="321">
        <f t="shared" ref="D63:I63" si="33">D59</f>
        <v>9803.2130100000013</v>
      </c>
      <c r="E63" s="321">
        <f t="shared" si="33"/>
        <v>9805.5777600000001</v>
      </c>
      <c r="F63" s="321">
        <f t="shared" si="33"/>
        <v>9489.2688000000016</v>
      </c>
      <c r="G63" s="321">
        <f t="shared" si="33"/>
        <v>9805.5777600000001</v>
      </c>
      <c r="H63" s="321">
        <f t="shared" si="33"/>
        <v>9489.2688000000016</v>
      </c>
      <c r="I63" s="321">
        <f t="shared" si="33"/>
        <v>9805.5777600000001</v>
      </c>
      <c r="J63" s="321">
        <f t="shared" ref="J63:O63" si="34">J59</f>
        <v>2080.7277600000002</v>
      </c>
      <c r="K63" s="321">
        <f t="shared" si="34"/>
        <v>4125.2590800000007</v>
      </c>
      <c r="L63" s="321">
        <f t="shared" si="34"/>
        <v>8859.6777600000005</v>
      </c>
      <c r="M63" s="321">
        <f t="shared" si="34"/>
        <v>9827.9010000000017</v>
      </c>
      <c r="N63" s="321">
        <f t="shared" si="34"/>
        <v>9805.5777600000001</v>
      </c>
      <c r="O63" s="321">
        <f t="shared" si="34"/>
        <v>9489.2688000000016</v>
      </c>
      <c r="P63" s="54">
        <f>SUM(D63:O63)</f>
        <v>102386.89605000001</v>
      </c>
      <c r="S63" s="47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53"/>
    </row>
    <row r="64" spans="1:32">
      <c r="C64" s="47" t="s">
        <v>48</v>
      </c>
      <c r="D64" s="320">
        <f t="shared" ref="D64:L64" si="35">+D63/D62</f>
        <v>3.1530000000000002E-2</v>
      </c>
      <c r="E64" s="320">
        <f t="shared" si="35"/>
        <v>3.1530000000000002E-2</v>
      </c>
      <c r="F64" s="320">
        <f t="shared" si="35"/>
        <v>3.1530000000000002E-2</v>
      </c>
      <c r="G64" s="320">
        <f t="shared" si="35"/>
        <v>3.1530000000000002E-2</v>
      </c>
      <c r="H64" s="320">
        <f t="shared" si="35"/>
        <v>3.1530000000000002E-2</v>
      </c>
      <c r="I64" s="320">
        <f t="shared" si="35"/>
        <v>3.1530000000000002E-2</v>
      </c>
      <c r="J64" s="320">
        <f t="shared" si="35"/>
        <v>3.1530000000000002E-2</v>
      </c>
      <c r="K64" s="320">
        <f t="shared" si="35"/>
        <v>3.1530000000000002E-2</v>
      </c>
      <c r="L64" s="320">
        <f t="shared" si="35"/>
        <v>3.1530000000000002E-2</v>
      </c>
      <c r="M64" s="320">
        <f t="shared" ref="M64:N64" si="36">+M63/M62</f>
        <v>3.1530000000000002E-2</v>
      </c>
      <c r="N64" s="320">
        <f t="shared" si="36"/>
        <v>3.1530000000000002E-2</v>
      </c>
      <c r="O64" s="320">
        <f t="shared" ref="O64" si="37">+O63/O62</f>
        <v>3.1530000000000002E-2</v>
      </c>
      <c r="P64" s="320">
        <f>+P63/P62</f>
        <v>3.1530000000000002E-2</v>
      </c>
      <c r="S64" s="47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</row>
    <row r="65" spans="1:32"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</row>
    <row r="66" spans="1:32">
      <c r="A66" s="87" t="s">
        <v>0</v>
      </c>
      <c r="C66" s="44" t="s">
        <v>47</v>
      </c>
      <c r="D66" s="57">
        <f t="shared" ref="D66:F67" si="38">SUM(D23,D52,D62)</f>
        <v>3969477</v>
      </c>
      <c r="E66" s="57">
        <f t="shared" si="38"/>
        <v>3926163</v>
      </c>
      <c r="F66" s="57">
        <f t="shared" si="38"/>
        <v>1938779</v>
      </c>
      <c r="G66" s="57">
        <f t="shared" ref="G66:I67" si="39">SUM(G23,G52,G62)</f>
        <v>1817398</v>
      </c>
      <c r="H66" s="57">
        <f t="shared" si="39"/>
        <v>3123079</v>
      </c>
      <c r="I66" s="57">
        <f t="shared" si="39"/>
        <v>5421020</v>
      </c>
      <c r="J66" s="57">
        <f t="shared" ref="J66:L67" si="40">SUM(J23,J52,J62)</f>
        <v>5035375</v>
      </c>
      <c r="K66" s="57">
        <f t="shared" si="40"/>
        <v>3387879</v>
      </c>
      <c r="L66" s="57">
        <f t="shared" si="40"/>
        <v>3239829</v>
      </c>
      <c r="M66" s="57">
        <f t="shared" ref="M66:N66" si="41">SUM(M23,M52,M62)</f>
        <v>2642853</v>
      </c>
      <c r="N66" s="57">
        <f t="shared" si="41"/>
        <v>2945497</v>
      </c>
      <c r="O66" s="57">
        <f t="shared" ref="O66" si="42">SUM(O23,O52,O62)</f>
        <v>2165346</v>
      </c>
      <c r="Q66" s="87"/>
      <c r="T66" s="48"/>
      <c r="U66" s="48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</row>
    <row r="67" spans="1:32" s="68" customFormat="1">
      <c r="B67" s="95"/>
      <c r="C67" s="67" t="s">
        <v>49</v>
      </c>
      <c r="D67" s="65">
        <f t="shared" si="38"/>
        <v>81992.712930000009</v>
      </c>
      <c r="E67" s="65">
        <f t="shared" si="38"/>
        <v>80851.098979999995</v>
      </c>
      <c r="F67" s="65">
        <f t="shared" si="38"/>
        <v>42250.1495</v>
      </c>
      <c r="G67" s="65">
        <f t="shared" si="39"/>
        <v>40202.230640000002</v>
      </c>
      <c r="H67" s="65">
        <f t="shared" si="39"/>
        <v>67291.831200000001</v>
      </c>
      <c r="I67" s="65">
        <f t="shared" si="39"/>
        <v>116390.05267999999</v>
      </c>
      <c r="J67" s="65">
        <f t="shared" si="40"/>
        <v>105702.62344</v>
      </c>
      <c r="K67" s="65">
        <f t="shared" si="40"/>
        <v>71865.088940000001</v>
      </c>
      <c r="L67" s="65">
        <f t="shared" si="40"/>
        <v>75278.825800000006</v>
      </c>
      <c r="M67" s="65">
        <f t="shared" ref="M67:N67" si="43">SUM(M24,M53,M63)</f>
        <v>40738.398300000001</v>
      </c>
      <c r="N67" s="65">
        <f t="shared" si="43"/>
        <v>46075.546179999998</v>
      </c>
      <c r="O67" s="65">
        <f t="shared" ref="O67" si="44">SUM(O24,O53,O63)</f>
        <v>33933.817900000002</v>
      </c>
      <c r="P67" s="54">
        <f>SUM(D67:O67)</f>
        <v>802572.37648999994</v>
      </c>
      <c r="R67" s="95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</row>
    <row r="68" spans="1:32" s="63" customFormat="1">
      <c r="B68" s="96"/>
      <c r="C68" s="74" t="s">
        <v>48</v>
      </c>
      <c r="D68" s="73">
        <f t="shared" ref="D68:L68" si="45">D67/D66</f>
        <v>2.065579745895996E-2</v>
      </c>
      <c r="E68" s="73">
        <f t="shared" si="45"/>
        <v>2.0592904313957418E-2</v>
      </c>
      <c r="F68" s="73">
        <f t="shared" si="45"/>
        <v>2.1792143147826543E-2</v>
      </c>
      <c r="G68" s="73">
        <f t="shared" si="45"/>
        <v>2.2120763112978007E-2</v>
      </c>
      <c r="H68" s="73">
        <f t="shared" si="45"/>
        <v>2.1546631129087671E-2</v>
      </c>
      <c r="I68" s="73">
        <f t="shared" si="45"/>
        <v>2.1470138955399537E-2</v>
      </c>
      <c r="J68" s="73">
        <f t="shared" si="45"/>
        <v>2.0992006243824936E-2</v>
      </c>
      <c r="K68" s="73">
        <f t="shared" si="45"/>
        <v>2.1212413117469662E-2</v>
      </c>
      <c r="L68" s="73">
        <f t="shared" si="45"/>
        <v>2.3235431808283712E-2</v>
      </c>
      <c r="M68" s="73">
        <f t="shared" ref="M68:N68" si="46">M67/M66</f>
        <v>1.5414553249840229E-2</v>
      </c>
      <c r="N68" s="73">
        <f t="shared" si="46"/>
        <v>1.5642706877650868E-2</v>
      </c>
      <c r="O68" s="73">
        <f t="shared" ref="O68" si="47">O67/O66</f>
        <v>1.5671314376547674E-2</v>
      </c>
      <c r="P68" s="73"/>
      <c r="R68" s="96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</row>
    <row r="69" spans="1:32">
      <c r="B69" s="87"/>
      <c r="C69" s="47"/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</row>
    <row r="71" spans="1:32">
      <c r="B71" s="87"/>
      <c r="C71" s="4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</row>
    <row r="72" spans="1:32">
      <c r="B72" s="87"/>
      <c r="C72" s="47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32" s="63" customFormat="1">
      <c r="B73" s="96"/>
      <c r="C73" s="74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</row>
    <row r="74" spans="1:32">
      <c r="B74" s="87"/>
      <c r="C74" s="47"/>
    </row>
    <row r="75" spans="1:32">
      <c r="B75" s="87"/>
    </row>
  </sheetData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transitionEvaluation="1" codeName="Sheet21">
    <pageSetUpPr fitToPage="1"/>
  </sheetPr>
  <dimension ref="A1:BB140"/>
  <sheetViews>
    <sheetView showGridLines="0" zoomScale="50" workbookViewId="0">
      <pane xSplit="1" ySplit="2" topLeftCell="D3" activePane="bottomRight" state="frozen"/>
      <selection activeCell="I74" sqref="I74"/>
      <selection pane="topRight" activeCell="I74" sqref="I74"/>
      <selection pane="bottomLeft" activeCell="I74" sqref="I74"/>
      <selection pane="bottomRight" activeCell="O24" sqref="O24"/>
    </sheetView>
  </sheetViews>
  <sheetFormatPr defaultColWidth="12.6640625" defaultRowHeight="20.25"/>
  <cols>
    <col min="1" max="1" width="63" style="37" bestFit="1" customWidth="1"/>
    <col min="2" max="3" width="15" style="24" bestFit="1" customWidth="1"/>
    <col min="4" max="5" width="15" style="37" bestFit="1" customWidth="1"/>
    <col min="6" max="6" width="14.33203125" style="37" bestFit="1" customWidth="1"/>
    <col min="7" max="8" width="15" style="37" bestFit="1" customWidth="1"/>
    <col min="9" max="9" width="15.88671875" style="37" bestFit="1" customWidth="1"/>
    <col min="10" max="13" width="14.33203125" style="37" bestFit="1" customWidth="1"/>
    <col min="14" max="14" width="17.44140625" style="37" bestFit="1" customWidth="1"/>
    <col min="15" max="15" width="14.33203125" style="37" bestFit="1" customWidth="1"/>
    <col min="16" max="16" width="15.88671875" style="37" bestFit="1" customWidth="1"/>
    <col min="17" max="18" width="13" style="37" bestFit="1" customWidth="1"/>
    <col min="19" max="19" width="59" style="37" bestFit="1" customWidth="1"/>
    <col min="20" max="31" width="14.33203125" style="37" bestFit="1" customWidth="1"/>
    <col min="32" max="32" width="17.44140625" style="37" bestFit="1" customWidth="1"/>
    <col min="33" max="33" width="13.44140625" style="37" bestFit="1" customWidth="1"/>
    <col min="34" max="36" width="13" style="37" bestFit="1" customWidth="1"/>
    <col min="37" max="37" width="59" style="37" bestFit="1" customWidth="1"/>
    <col min="38" max="49" width="14.33203125" style="37" bestFit="1" customWidth="1"/>
    <col min="50" max="50" width="17.44140625" style="37" bestFit="1" customWidth="1"/>
    <col min="51" max="51" width="13.44140625" style="37" bestFit="1" customWidth="1"/>
    <col min="52" max="54" width="13" style="37" bestFit="1" customWidth="1"/>
    <col min="55" max="16384" width="12.6640625" style="37"/>
  </cols>
  <sheetData>
    <row r="1" spans="1:54">
      <c r="B1" s="13" t="s">
        <v>909</v>
      </c>
      <c r="C1" s="13" t="s">
        <v>909</v>
      </c>
      <c r="D1" s="13" t="s">
        <v>909</v>
      </c>
      <c r="E1" s="13" t="s">
        <v>909</v>
      </c>
      <c r="F1" s="13" t="s">
        <v>909</v>
      </c>
      <c r="G1" s="13" t="s">
        <v>909</v>
      </c>
      <c r="H1" s="13" t="s">
        <v>909</v>
      </c>
      <c r="I1" s="13" t="s">
        <v>909</v>
      </c>
      <c r="J1" s="13" t="s">
        <v>909</v>
      </c>
      <c r="K1" s="13" t="s">
        <v>909</v>
      </c>
      <c r="L1" s="13" t="s">
        <v>909</v>
      </c>
      <c r="M1" s="13" t="s">
        <v>909</v>
      </c>
      <c r="N1" s="347"/>
      <c r="O1" s="348" t="s">
        <v>761</v>
      </c>
      <c r="P1" s="348" t="s">
        <v>761</v>
      </c>
      <c r="Q1" s="348" t="s">
        <v>761</v>
      </c>
      <c r="R1" s="348" t="s">
        <v>761</v>
      </c>
      <c r="T1" s="13" t="s">
        <v>117</v>
      </c>
      <c r="U1" s="13" t="s">
        <v>117</v>
      </c>
      <c r="V1" s="13" t="s">
        <v>117</v>
      </c>
      <c r="W1" s="13" t="s">
        <v>117</v>
      </c>
      <c r="X1" s="13" t="s">
        <v>117</v>
      </c>
      <c r="Y1" s="13" t="s">
        <v>117</v>
      </c>
      <c r="Z1" s="13" t="s">
        <v>117</v>
      </c>
      <c r="AA1" s="13" t="s">
        <v>117</v>
      </c>
      <c r="AB1" s="13" t="s">
        <v>117</v>
      </c>
      <c r="AC1" s="13" t="s">
        <v>117</v>
      </c>
      <c r="AD1" s="13" t="s">
        <v>117</v>
      </c>
      <c r="AE1" s="13" t="s">
        <v>117</v>
      </c>
      <c r="AF1" s="347"/>
      <c r="AG1" s="348">
        <v>1112</v>
      </c>
      <c r="AH1" s="348">
        <v>1112</v>
      </c>
      <c r="AI1" s="348">
        <v>1112</v>
      </c>
      <c r="AJ1" s="348">
        <v>1112</v>
      </c>
      <c r="AL1" s="13" t="s">
        <v>117</v>
      </c>
      <c r="AM1" s="13" t="s">
        <v>117</v>
      </c>
      <c r="AN1" s="13" t="s">
        <v>117</v>
      </c>
      <c r="AO1" s="13" t="s">
        <v>117</v>
      </c>
      <c r="AP1" s="13" t="s">
        <v>117</v>
      </c>
      <c r="AQ1" s="13" t="s">
        <v>117</v>
      </c>
      <c r="AR1" s="13" t="s">
        <v>117</v>
      </c>
      <c r="AS1" s="13" t="s">
        <v>117</v>
      </c>
      <c r="AT1" s="13" t="s">
        <v>117</v>
      </c>
      <c r="AU1" s="13" t="s">
        <v>117</v>
      </c>
      <c r="AV1" s="13" t="s">
        <v>117</v>
      </c>
      <c r="AW1" s="13" t="s">
        <v>117</v>
      </c>
      <c r="AX1" s="347"/>
      <c r="AY1" s="348">
        <v>1213</v>
      </c>
      <c r="AZ1" s="348">
        <v>1213</v>
      </c>
      <c r="BA1" s="348">
        <v>1213</v>
      </c>
      <c r="BB1" s="348">
        <v>1213</v>
      </c>
    </row>
    <row r="2" spans="1:54">
      <c r="B2" s="14">
        <v>40360</v>
      </c>
      <c r="C2" s="14">
        <v>40391</v>
      </c>
      <c r="D2" s="14">
        <v>40422</v>
      </c>
      <c r="E2" s="14">
        <v>40452</v>
      </c>
      <c r="F2" s="14">
        <v>40483</v>
      </c>
      <c r="G2" s="14">
        <v>40513</v>
      </c>
      <c r="H2" s="14">
        <v>40544</v>
      </c>
      <c r="I2" s="14">
        <v>40575</v>
      </c>
      <c r="J2" s="14">
        <v>40603</v>
      </c>
      <c r="K2" s="14">
        <v>40634</v>
      </c>
      <c r="L2" s="14">
        <v>40664</v>
      </c>
      <c r="M2" s="14">
        <v>40695</v>
      </c>
      <c r="N2" s="13" t="s">
        <v>758</v>
      </c>
      <c r="O2" s="13" t="s">
        <v>149</v>
      </c>
      <c r="P2" s="13" t="s">
        <v>150</v>
      </c>
      <c r="Q2" s="13" t="s">
        <v>48</v>
      </c>
      <c r="R2" s="13" t="s">
        <v>107</v>
      </c>
      <c r="T2" s="14">
        <v>40725</v>
      </c>
      <c r="U2" s="14">
        <v>40756</v>
      </c>
      <c r="V2" s="14">
        <v>40787</v>
      </c>
      <c r="W2" s="14">
        <v>40817</v>
      </c>
      <c r="X2" s="14">
        <v>40848</v>
      </c>
      <c r="Y2" s="14">
        <v>40878</v>
      </c>
      <c r="Z2" s="14">
        <v>40909</v>
      </c>
      <c r="AA2" s="14">
        <v>40940</v>
      </c>
      <c r="AB2" s="14">
        <v>40969</v>
      </c>
      <c r="AC2" s="14">
        <v>41000</v>
      </c>
      <c r="AD2" s="14">
        <v>41030</v>
      </c>
      <c r="AE2" s="14">
        <v>41061</v>
      </c>
      <c r="AF2" s="13" t="s">
        <v>868</v>
      </c>
      <c r="AG2" s="13" t="s">
        <v>149</v>
      </c>
      <c r="AH2" s="13" t="s">
        <v>150</v>
      </c>
      <c r="AI2" s="13" t="s">
        <v>48</v>
      </c>
      <c r="AJ2" s="13" t="s">
        <v>107</v>
      </c>
      <c r="AL2" s="14">
        <v>41091</v>
      </c>
      <c r="AM2" s="14">
        <v>41122</v>
      </c>
      <c r="AN2" s="14">
        <v>41153</v>
      </c>
      <c r="AO2" s="14">
        <v>41183</v>
      </c>
      <c r="AP2" s="14">
        <v>41214</v>
      </c>
      <c r="AQ2" s="14">
        <v>41244</v>
      </c>
      <c r="AR2" s="14">
        <v>41275</v>
      </c>
      <c r="AS2" s="14">
        <v>41306</v>
      </c>
      <c r="AT2" s="14">
        <v>41334</v>
      </c>
      <c r="AU2" s="14">
        <v>41365</v>
      </c>
      <c r="AV2" s="14">
        <v>41395</v>
      </c>
      <c r="AW2" s="14">
        <v>41426</v>
      </c>
      <c r="AX2" s="13" t="s">
        <v>895</v>
      </c>
      <c r="AY2" s="13" t="s">
        <v>149</v>
      </c>
      <c r="AZ2" s="13" t="s">
        <v>150</v>
      </c>
      <c r="BA2" s="13" t="s">
        <v>48</v>
      </c>
      <c r="BB2" s="13" t="s">
        <v>107</v>
      </c>
    </row>
    <row r="3" spans="1:54" ht="26.25">
      <c r="A3" s="349" t="s">
        <v>393</v>
      </c>
      <c r="B3" s="15"/>
      <c r="C3" s="15"/>
      <c r="D3" s="15"/>
      <c r="E3" s="310"/>
      <c r="F3" s="15"/>
      <c r="G3" s="15"/>
      <c r="H3" s="15"/>
      <c r="I3" s="15"/>
      <c r="J3" s="15"/>
      <c r="K3" s="15"/>
      <c r="L3" s="15"/>
      <c r="M3" s="15"/>
      <c r="N3" s="15"/>
      <c r="O3" s="24"/>
      <c r="P3" s="24"/>
      <c r="Q3" s="24"/>
      <c r="R3" s="24"/>
      <c r="S3" s="349" t="s">
        <v>393</v>
      </c>
      <c r="T3" s="15"/>
      <c r="U3" s="15"/>
      <c r="V3" s="15"/>
      <c r="W3" s="15"/>
      <c r="Y3" s="15"/>
      <c r="Z3" s="15"/>
      <c r="AA3" s="15"/>
      <c r="AB3" s="15"/>
      <c r="AC3" s="15"/>
      <c r="AD3" s="15"/>
      <c r="AE3" s="15"/>
      <c r="AF3" s="15"/>
      <c r="AG3" s="24"/>
      <c r="AH3" s="24"/>
      <c r="AI3" s="24"/>
      <c r="AJ3" s="24"/>
      <c r="AK3" s="349" t="s">
        <v>393</v>
      </c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24"/>
      <c r="AZ3" s="24"/>
      <c r="BA3" s="24"/>
      <c r="BB3" s="24"/>
    </row>
    <row r="4" spans="1:54">
      <c r="A4" s="35"/>
      <c r="B4" s="15"/>
      <c r="C4" s="15"/>
      <c r="D4" s="15"/>
      <c r="E4" s="15"/>
      <c r="F4" s="23"/>
      <c r="G4" s="15"/>
      <c r="H4" s="15"/>
      <c r="I4" s="15"/>
      <c r="J4" s="15"/>
      <c r="K4" s="15"/>
      <c r="L4" s="15"/>
      <c r="M4" s="15"/>
      <c r="N4" s="15"/>
      <c r="O4" s="24"/>
      <c r="P4" s="24"/>
      <c r="Q4" s="24"/>
      <c r="R4" s="24"/>
      <c r="S4" s="3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24"/>
      <c r="AH4" s="24"/>
      <c r="AI4" s="24"/>
      <c r="AJ4" s="24"/>
      <c r="AK4" s="3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24"/>
      <c r="AZ4" s="24"/>
      <c r="BA4" s="24"/>
      <c r="BB4" s="24"/>
    </row>
    <row r="5" spans="1:54">
      <c r="A5" s="35" t="s">
        <v>170</v>
      </c>
      <c r="B5" s="15">
        <f>9054+6000</f>
        <v>15054</v>
      </c>
      <c r="C5" s="15">
        <f t="shared" ref="C5:M5" si="0">9054+6000</f>
        <v>15054</v>
      </c>
      <c r="D5" s="15">
        <f t="shared" si="0"/>
        <v>15054</v>
      </c>
      <c r="E5" s="15">
        <f t="shared" si="0"/>
        <v>15054</v>
      </c>
      <c r="F5" s="15">
        <f t="shared" si="0"/>
        <v>15054</v>
      </c>
      <c r="G5" s="15">
        <f t="shared" si="0"/>
        <v>15054</v>
      </c>
      <c r="H5" s="15">
        <f t="shared" si="0"/>
        <v>15054</v>
      </c>
      <c r="I5" s="15">
        <f t="shared" si="0"/>
        <v>15054</v>
      </c>
      <c r="J5" s="15">
        <f t="shared" si="0"/>
        <v>15054</v>
      </c>
      <c r="K5" s="15">
        <f t="shared" si="0"/>
        <v>15054</v>
      </c>
      <c r="L5" s="15">
        <f t="shared" si="0"/>
        <v>15054</v>
      </c>
      <c r="M5" s="15">
        <f t="shared" si="0"/>
        <v>15054</v>
      </c>
      <c r="N5" s="15"/>
      <c r="O5" s="24"/>
      <c r="P5" s="28"/>
      <c r="Q5" s="24"/>
      <c r="R5" s="24"/>
      <c r="S5" s="35" t="s">
        <v>170</v>
      </c>
      <c r="T5" s="15">
        <f>9054+6000</f>
        <v>15054</v>
      </c>
      <c r="U5" s="15">
        <f t="shared" ref="U5:AE5" si="1">9054+6000</f>
        <v>15054</v>
      </c>
      <c r="V5" s="15">
        <f t="shared" si="1"/>
        <v>15054</v>
      </c>
      <c r="W5" s="15">
        <f t="shared" si="1"/>
        <v>15054</v>
      </c>
      <c r="X5" s="15">
        <f t="shared" si="1"/>
        <v>15054</v>
      </c>
      <c r="Y5" s="15">
        <f t="shared" si="1"/>
        <v>15054</v>
      </c>
      <c r="Z5" s="15">
        <f t="shared" si="1"/>
        <v>15054</v>
      </c>
      <c r="AA5" s="15">
        <f t="shared" si="1"/>
        <v>15054</v>
      </c>
      <c r="AB5" s="15">
        <f t="shared" si="1"/>
        <v>15054</v>
      </c>
      <c r="AC5" s="15">
        <f t="shared" si="1"/>
        <v>15054</v>
      </c>
      <c r="AD5" s="15">
        <f t="shared" si="1"/>
        <v>15054</v>
      </c>
      <c r="AE5" s="15">
        <f t="shared" si="1"/>
        <v>15054</v>
      </c>
      <c r="AF5" s="15"/>
      <c r="AG5" s="24"/>
      <c r="AH5" s="28"/>
      <c r="AI5" s="24"/>
      <c r="AJ5" s="24"/>
      <c r="AK5" s="35" t="s">
        <v>170</v>
      </c>
      <c r="AL5" s="15">
        <f>9054+6000</f>
        <v>15054</v>
      </c>
      <c r="AM5" s="15">
        <f t="shared" ref="AM5:AW5" si="2">9054+6000</f>
        <v>15054</v>
      </c>
      <c r="AN5" s="15">
        <f t="shared" si="2"/>
        <v>15054</v>
      </c>
      <c r="AO5" s="15">
        <f t="shared" si="2"/>
        <v>15054</v>
      </c>
      <c r="AP5" s="15">
        <f t="shared" si="2"/>
        <v>15054</v>
      </c>
      <c r="AQ5" s="15">
        <f t="shared" si="2"/>
        <v>15054</v>
      </c>
      <c r="AR5" s="15">
        <f t="shared" si="2"/>
        <v>15054</v>
      </c>
      <c r="AS5" s="15">
        <f t="shared" si="2"/>
        <v>15054</v>
      </c>
      <c r="AT5" s="15">
        <f t="shared" si="2"/>
        <v>15054</v>
      </c>
      <c r="AU5" s="15">
        <f t="shared" si="2"/>
        <v>15054</v>
      </c>
      <c r="AV5" s="15">
        <f t="shared" si="2"/>
        <v>15054</v>
      </c>
      <c r="AW5" s="15">
        <f t="shared" si="2"/>
        <v>15054</v>
      </c>
      <c r="AX5" s="15"/>
      <c r="AY5" s="24"/>
      <c r="AZ5" s="28"/>
      <c r="BA5" s="24"/>
      <c r="BB5" s="24"/>
    </row>
    <row r="6" spans="1:54">
      <c r="A6" s="35" t="s">
        <v>171</v>
      </c>
      <c r="B6" s="189">
        <v>4.3460999999999999</v>
      </c>
      <c r="C6" s="189">
        <v>4.3460999999999999</v>
      </c>
      <c r="D6" s="189">
        <v>4.3460999999999999</v>
      </c>
      <c r="E6" s="189">
        <v>4.3460999999999999</v>
      </c>
      <c r="F6" s="189">
        <v>4.3075000000000001</v>
      </c>
      <c r="G6" s="189">
        <v>4.3075000000000001</v>
      </c>
      <c r="H6" s="189">
        <v>4.3075000000000001</v>
      </c>
      <c r="I6" s="189">
        <v>4.3075000000000001</v>
      </c>
      <c r="J6" s="189">
        <v>4.3075000000000001</v>
      </c>
      <c r="K6" s="189">
        <v>4.3075000000000001</v>
      </c>
      <c r="L6" s="189">
        <v>4.3075000000000001</v>
      </c>
      <c r="M6" s="189">
        <v>4.3075000000000001</v>
      </c>
      <c r="N6" s="15"/>
      <c r="O6" s="24"/>
      <c r="P6" s="24"/>
      <c r="Q6" s="24"/>
      <c r="R6" s="24"/>
      <c r="S6" s="35" t="s">
        <v>171</v>
      </c>
      <c r="T6" s="17">
        <v>4.4000000000000004</v>
      </c>
      <c r="U6" s="17">
        <v>4.4000000000000004</v>
      </c>
      <c r="V6" s="17">
        <v>4.4000000000000004</v>
      </c>
      <c r="W6" s="17">
        <v>4.4000000000000004</v>
      </c>
      <c r="X6" s="17">
        <v>4.4000000000000004</v>
      </c>
      <c r="Y6" s="17">
        <v>4.4000000000000004</v>
      </c>
      <c r="Z6" s="17">
        <v>4.4000000000000004</v>
      </c>
      <c r="AA6" s="17">
        <v>4.4000000000000004</v>
      </c>
      <c r="AB6" s="17">
        <v>4.4000000000000004</v>
      </c>
      <c r="AC6" s="17">
        <v>4.4000000000000004</v>
      </c>
      <c r="AD6" s="17">
        <v>4.4000000000000004</v>
      </c>
      <c r="AE6" s="17">
        <v>4.4000000000000004</v>
      </c>
      <c r="AF6" s="15"/>
      <c r="AG6" s="24"/>
      <c r="AH6" s="24"/>
      <c r="AI6" s="24"/>
      <c r="AJ6" s="24"/>
      <c r="AK6" s="35" t="s">
        <v>171</v>
      </c>
      <c r="AL6" s="17">
        <v>4.4000000000000004</v>
      </c>
      <c r="AM6" s="17">
        <v>4.4000000000000004</v>
      </c>
      <c r="AN6" s="17">
        <v>4.4000000000000004</v>
      </c>
      <c r="AO6" s="17">
        <v>4.4000000000000004</v>
      </c>
      <c r="AP6" s="17">
        <v>4.4000000000000004</v>
      </c>
      <c r="AQ6" s="17">
        <v>4.4000000000000004</v>
      </c>
      <c r="AR6" s="17">
        <v>4.4000000000000004</v>
      </c>
      <c r="AS6" s="17">
        <v>4.4000000000000004</v>
      </c>
      <c r="AT6" s="17">
        <v>4.4000000000000004</v>
      </c>
      <c r="AU6" s="17">
        <v>4.4000000000000004</v>
      </c>
      <c r="AV6" s="17">
        <v>4.4000000000000004</v>
      </c>
      <c r="AW6" s="17">
        <v>4.4000000000000004</v>
      </c>
      <c r="AX6" s="15"/>
      <c r="AY6" s="24"/>
      <c r="AZ6" s="24"/>
      <c r="BA6" s="24"/>
      <c r="BB6" s="24"/>
    </row>
    <row r="7" spans="1:54">
      <c r="A7" s="35" t="s">
        <v>172</v>
      </c>
      <c r="B7" s="18">
        <f t="shared" ref="B7:M7" si="3">+B5*B6</f>
        <v>65426.189399999996</v>
      </c>
      <c r="C7" s="18">
        <f t="shared" si="3"/>
        <v>65426.189399999996</v>
      </c>
      <c r="D7" s="18">
        <f t="shared" si="3"/>
        <v>65426.189399999996</v>
      </c>
      <c r="E7" s="18">
        <f t="shared" si="3"/>
        <v>65426.189399999996</v>
      </c>
      <c r="F7" s="18">
        <f t="shared" si="3"/>
        <v>64845.105000000003</v>
      </c>
      <c r="G7" s="18">
        <f t="shared" si="3"/>
        <v>64845.105000000003</v>
      </c>
      <c r="H7" s="18">
        <f t="shared" si="3"/>
        <v>64845.105000000003</v>
      </c>
      <c r="I7" s="18">
        <f t="shared" si="3"/>
        <v>64845.105000000003</v>
      </c>
      <c r="J7" s="18">
        <f t="shared" si="3"/>
        <v>64845.105000000003</v>
      </c>
      <c r="K7" s="18">
        <f t="shared" si="3"/>
        <v>64845.105000000003</v>
      </c>
      <c r="L7" s="18">
        <f t="shared" si="3"/>
        <v>64845.105000000003</v>
      </c>
      <c r="M7" s="18">
        <f t="shared" si="3"/>
        <v>64845.105000000003</v>
      </c>
      <c r="N7" s="18">
        <f>SUM(B7:M7)</f>
        <v>780465.59759999986</v>
      </c>
      <c r="O7" s="24"/>
      <c r="P7" s="24"/>
      <c r="Q7" s="24"/>
      <c r="R7" s="24"/>
      <c r="S7" s="35" t="s">
        <v>172</v>
      </c>
      <c r="T7" s="18">
        <f t="shared" ref="T7:AE7" si="4">+T5*T6</f>
        <v>66237.600000000006</v>
      </c>
      <c r="U7" s="18">
        <f t="shared" si="4"/>
        <v>66237.600000000006</v>
      </c>
      <c r="V7" s="18">
        <f t="shared" si="4"/>
        <v>66237.600000000006</v>
      </c>
      <c r="W7" s="18">
        <f t="shared" si="4"/>
        <v>66237.600000000006</v>
      </c>
      <c r="X7" s="18">
        <f t="shared" si="4"/>
        <v>66237.600000000006</v>
      </c>
      <c r="Y7" s="18">
        <f t="shared" si="4"/>
        <v>66237.600000000006</v>
      </c>
      <c r="Z7" s="18">
        <f t="shared" si="4"/>
        <v>66237.600000000006</v>
      </c>
      <c r="AA7" s="18">
        <f t="shared" si="4"/>
        <v>66237.600000000006</v>
      </c>
      <c r="AB7" s="18">
        <f t="shared" si="4"/>
        <v>66237.600000000006</v>
      </c>
      <c r="AC7" s="18">
        <f t="shared" si="4"/>
        <v>66237.600000000006</v>
      </c>
      <c r="AD7" s="18">
        <f t="shared" si="4"/>
        <v>66237.600000000006</v>
      </c>
      <c r="AE7" s="18">
        <f t="shared" si="4"/>
        <v>66237.600000000006</v>
      </c>
      <c r="AF7" s="18">
        <f>SUM(T7:AE7)</f>
        <v>794851.19999999984</v>
      </c>
      <c r="AG7" s="24"/>
      <c r="AH7" s="24"/>
      <c r="AI7" s="24"/>
      <c r="AJ7" s="24"/>
      <c r="AK7" s="35" t="s">
        <v>172</v>
      </c>
      <c r="AL7" s="18">
        <f t="shared" ref="AL7:AW7" si="5">+AL5*AL6</f>
        <v>66237.600000000006</v>
      </c>
      <c r="AM7" s="18">
        <f t="shared" si="5"/>
        <v>66237.600000000006</v>
      </c>
      <c r="AN7" s="18">
        <f t="shared" si="5"/>
        <v>66237.600000000006</v>
      </c>
      <c r="AO7" s="18">
        <f t="shared" si="5"/>
        <v>66237.600000000006</v>
      </c>
      <c r="AP7" s="18">
        <f t="shared" si="5"/>
        <v>66237.600000000006</v>
      </c>
      <c r="AQ7" s="18">
        <f t="shared" si="5"/>
        <v>66237.600000000006</v>
      </c>
      <c r="AR7" s="18">
        <f t="shared" si="5"/>
        <v>66237.600000000006</v>
      </c>
      <c r="AS7" s="18">
        <f t="shared" si="5"/>
        <v>66237.600000000006</v>
      </c>
      <c r="AT7" s="18">
        <f t="shared" si="5"/>
        <v>66237.600000000006</v>
      </c>
      <c r="AU7" s="18">
        <f t="shared" si="5"/>
        <v>66237.600000000006</v>
      </c>
      <c r="AV7" s="18">
        <f t="shared" si="5"/>
        <v>66237.600000000006</v>
      </c>
      <c r="AW7" s="18">
        <f t="shared" si="5"/>
        <v>66237.600000000006</v>
      </c>
      <c r="AX7" s="18">
        <f>SUM(AL7:AW7)</f>
        <v>794851.19999999984</v>
      </c>
      <c r="AY7" s="24"/>
      <c r="AZ7" s="24"/>
      <c r="BA7" s="24"/>
      <c r="BB7" s="24"/>
    </row>
    <row r="8" spans="1:54">
      <c r="A8" s="35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24"/>
      <c r="P8" s="24"/>
      <c r="Q8" s="24"/>
      <c r="R8" s="24"/>
      <c r="S8" s="35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24"/>
      <c r="AH8" s="24"/>
      <c r="AI8" s="24"/>
      <c r="AJ8" s="24"/>
      <c r="AK8" s="35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24"/>
      <c r="AZ8" s="24"/>
      <c r="BA8" s="24"/>
      <c r="BB8" s="24"/>
    </row>
    <row r="9" spans="1:54">
      <c r="A9" s="35" t="s">
        <v>173</v>
      </c>
      <c r="B9" s="15">
        <v>25000</v>
      </c>
      <c r="C9" s="15">
        <v>25000</v>
      </c>
      <c r="D9" s="15">
        <v>25000</v>
      </c>
      <c r="E9" s="15">
        <v>25000</v>
      </c>
      <c r="F9" s="15">
        <v>25000</v>
      </c>
      <c r="G9" s="15">
        <v>25000</v>
      </c>
      <c r="H9" s="15">
        <v>25000</v>
      </c>
      <c r="I9" s="15">
        <v>25000</v>
      </c>
      <c r="J9" s="15">
        <v>25000</v>
      </c>
      <c r="K9" s="15">
        <v>25000</v>
      </c>
      <c r="L9" s="15">
        <v>25000</v>
      </c>
      <c r="M9" s="15">
        <v>25000</v>
      </c>
      <c r="N9" s="18"/>
      <c r="O9" s="24"/>
      <c r="P9" s="24"/>
      <c r="Q9" s="24"/>
      <c r="R9" s="24"/>
      <c r="S9" s="35" t="s">
        <v>173</v>
      </c>
      <c r="T9" s="15">
        <v>25000</v>
      </c>
      <c r="U9" s="15">
        <v>25000</v>
      </c>
      <c r="V9" s="15">
        <v>25000</v>
      </c>
      <c r="W9" s="15">
        <v>25000</v>
      </c>
      <c r="X9" s="15">
        <v>25000</v>
      </c>
      <c r="Y9" s="15">
        <v>25000</v>
      </c>
      <c r="Z9" s="15">
        <v>25000</v>
      </c>
      <c r="AA9" s="15">
        <v>25000</v>
      </c>
      <c r="AB9" s="15">
        <v>25000</v>
      </c>
      <c r="AC9" s="15">
        <v>25000</v>
      </c>
      <c r="AD9" s="15">
        <v>25000</v>
      </c>
      <c r="AE9" s="15">
        <v>25000</v>
      </c>
      <c r="AF9" s="18"/>
      <c r="AG9" s="24"/>
      <c r="AH9" s="24"/>
      <c r="AI9" s="24"/>
      <c r="AJ9" s="24"/>
      <c r="AK9" s="35" t="s">
        <v>173</v>
      </c>
      <c r="AL9" s="15">
        <v>25000</v>
      </c>
      <c r="AM9" s="15">
        <v>25000</v>
      </c>
      <c r="AN9" s="15">
        <v>25000</v>
      </c>
      <c r="AO9" s="15">
        <v>25000</v>
      </c>
      <c r="AP9" s="15">
        <v>25000</v>
      </c>
      <c r="AQ9" s="15">
        <v>25000</v>
      </c>
      <c r="AR9" s="15">
        <v>25000</v>
      </c>
      <c r="AS9" s="15">
        <v>25000</v>
      </c>
      <c r="AT9" s="15">
        <v>25000</v>
      </c>
      <c r="AU9" s="15">
        <v>25000</v>
      </c>
      <c r="AV9" s="15">
        <v>25000</v>
      </c>
      <c r="AW9" s="15">
        <v>25000</v>
      </c>
      <c r="AX9" s="18"/>
      <c r="AY9" s="24"/>
      <c r="AZ9" s="24"/>
      <c r="BA9" s="24"/>
      <c r="BB9" s="24"/>
    </row>
    <row r="10" spans="1:54">
      <c r="A10" s="35" t="s">
        <v>174</v>
      </c>
      <c r="B10" s="401">
        <v>10.2211</v>
      </c>
      <c r="C10" s="401">
        <v>10.2211</v>
      </c>
      <c r="D10" s="401">
        <v>10.2211</v>
      </c>
      <c r="E10" s="401">
        <v>10.2211</v>
      </c>
      <c r="F10" s="401">
        <v>10.182499999999999</v>
      </c>
      <c r="G10" s="401">
        <v>10.182499999999999</v>
      </c>
      <c r="H10" s="401">
        <v>10.182499999999999</v>
      </c>
      <c r="I10" s="401">
        <v>10.182499999999999</v>
      </c>
      <c r="J10" s="401">
        <v>10.182499999999999</v>
      </c>
      <c r="K10" s="401">
        <v>10.182499999999999</v>
      </c>
      <c r="L10" s="401">
        <v>10.182499999999999</v>
      </c>
      <c r="M10" s="401">
        <v>10.182499999999999</v>
      </c>
      <c r="N10" s="18"/>
      <c r="O10" s="24"/>
      <c r="P10" s="24"/>
      <c r="Q10" s="24"/>
      <c r="R10" s="24"/>
      <c r="S10" s="35" t="s">
        <v>174</v>
      </c>
      <c r="T10" s="23">
        <v>10.4</v>
      </c>
      <c r="U10" s="23">
        <v>10.4</v>
      </c>
      <c r="V10" s="23">
        <v>10.4</v>
      </c>
      <c r="W10" s="23">
        <v>10.4</v>
      </c>
      <c r="X10" s="23">
        <v>10.4</v>
      </c>
      <c r="Y10" s="23">
        <v>10.4</v>
      </c>
      <c r="Z10" s="23">
        <v>10.4</v>
      </c>
      <c r="AA10" s="23">
        <v>10.4</v>
      </c>
      <c r="AB10" s="23">
        <v>10.4</v>
      </c>
      <c r="AC10" s="23">
        <v>10.4</v>
      </c>
      <c r="AD10" s="23">
        <v>10.4</v>
      </c>
      <c r="AE10" s="23">
        <v>10.4</v>
      </c>
      <c r="AF10" s="18"/>
      <c r="AG10" s="24"/>
      <c r="AH10" s="24"/>
      <c r="AI10" s="24"/>
      <c r="AJ10" s="24"/>
      <c r="AK10" s="35" t="s">
        <v>174</v>
      </c>
      <c r="AL10" s="23">
        <v>10.4</v>
      </c>
      <c r="AM10" s="23">
        <v>10.4</v>
      </c>
      <c r="AN10" s="23">
        <v>10.4</v>
      </c>
      <c r="AO10" s="23">
        <v>10.4</v>
      </c>
      <c r="AP10" s="23">
        <v>10.4</v>
      </c>
      <c r="AQ10" s="23">
        <v>10.4</v>
      </c>
      <c r="AR10" s="23">
        <v>10.4</v>
      </c>
      <c r="AS10" s="23">
        <v>10.4</v>
      </c>
      <c r="AT10" s="23">
        <v>10.4</v>
      </c>
      <c r="AU10" s="23">
        <v>10.4</v>
      </c>
      <c r="AV10" s="23">
        <v>10.4</v>
      </c>
      <c r="AW10" s="23">
        <v>10.4</v>
      </c>
      <c r="AX10" s="18"/>
      <c r="AY10" s="24"/>
      <c r="AZ10" s="24"/>
      <c r="BA10" s="24"/>
      <c r="BB10" s="24"/>
    </row>
    <row r="11" spans="1:54">
      <c r="A11" s="35" t="s">
        <v>175</v>
      </c>
      <c r="B11" s="18">
        <f t="shared" ref="B11:M11" si="6">B9*B10</f>
        <v>255527.5</v>
      </c>
      <c r="C11" s="18">
        <f t="shared" si="6"/>
        <v>255527.5</v>
      </c>
      <c r="D11" s="18">
        <f t="shared" si="6"/>
        <v>255527.5</v>
      </c>
      <c r="E11" s="18">
        <f t="shared" si="6"/>
        <v>255527.5</v>
      </c>
      <c r="F11" s="18">
        <f t="shared" si="6"/>
        <v>254562.49999999997</v>
      </c>
      <c r="G11" s="18">
        <f t="shared" si="6"/>
        <v>254562.49999999997</v>
      </c>
      <c r="H11" s="18">
        <f t="shared" si="6"/>
        <v>254562.49999999997</v>
      </c>
      <c r="I11" s="18">
        <f t="shared" si="6"/>
        <v>254562.49999999997</v>
      </c>
      <c r="J11" s="18">
        <f t="shared" si="6"/>
        <v>254562.49999999997</v>
      </c>
      <c r="K11" s="18">
        <f t="shared" si="6"/>
        <v>254562.49999999997</v>
      </c>
      <c r="L11" s="18">
        <f t="shared" si="6"/>
        <v>254562.49999999997</v>
      </c>
      <c r="M11" s="18">
        <f t="shared" si="6"/>
        <v>254562.49999999997</v>
      </c>
      <c r="N11" s="18">
        <f>SUM(B11:M11)</f>
        <v>3058610</v>
      </c>
      <c r="O11" s="24"/>
      <c r="P11" s="24"/>
      <c r="Q11" s="24"/>
      <c r="R11" s="24"/>
      <c r="S11" s="35" t="s">
        <v>175</v>
      </c>
      <c r="T11" s="18">
        <f t="shared" ref="T11:AE11" si="7">T9*T10</f>
        <v>260000</v>
      </c>
      <c r="U11" s="18">
        <f t="shared" si="7"/>
        <v>260000</v>
      </c>
      <c r="V11" s="18">
        <f t="shared" si="7"/>
        <v>260000</v>
      </c>
      <c r="W11" s="18">
        <f t="shared" si="7"/>
        <v>260000</v>
      </c>
      <c r="X11" s="18">
        <f t="shared" si="7"/>
        <v>260000</v>
      </c>
      <c r="Y11" s="18">
        <f t="shared" si="7"/>
        <v>260000</v>
      </c>
      <c r="Z11" s="18">
        <f t="shared" si="7"/>
        <v>260000</v>
      </c>
      <c r="AA11" s="18">
        <f t="shared" si="7"/>
        <v>260000</v>
      </c>
      <c r="AB11" s="18">
        <f t="shared" si="7"/>
        <v>260000</v>
      </c>
      <c r="AC11" s="18">
        <f t="shared" si="7"/>
        <v>260000</v>
      </c>
      <c r="AD11" s="18">
        <f t="shared" si="7"/>
        <v>260000</v>
      </c>
      <c r="AE11" s="18">
        <f t="shared" si="7"/>
        <v>260000</v>
      </c>
      <c r="AF11" s="18">
        <f>SUM(T11:AE11)</f>
        <v>3120000</v>
      </c>
      <c r="AG11" s="24"/>
      <c r="AH11" s="24"/>
      <c r="AI11" s="24"/>
      <c r="AJ11" s="24"/>
      <c r="AK11" s="35" t="s">
        <v>175</v>
      </c>
      <c r="AL11" s="18">
        <f t="shared" ref="AL11:AW11" si="8">AL9*AL10</f>
        <v>260000</v>
      </c>
      <c r="AM11" s="18">
        <f t="shared" si="8"/>
        <v>260000</v>
      </c>
      <c r="AN11" s="18">
        <f t="shared" si="8"/>
        <v>260000</v>
      </c>
      <c r="AO11" s="18">
        <f t="shared" si="8"/>
        <v>260000</v>
      </c>
      <c r="AP11" s="18">
        <f t="shared" si="8"/>
        <v>260000</v>
      </c>
      <c r="AQ11" s="18">
        <f t="shared" si="8"/>
        <v>260000</v>
      </c>
      <c r="AR11" s="18">
        <f t="shared" si="8"/>
        <v>260000</v>
      </c>
      <c r="AS11" s="18">
        <f t="shared" si="8"/>
        <v>260000</v>
      </c>
      <c r="AT11" s="18">
        <f t="shared" si="8"/>
        <v>260000</v>
      </c>
      <c r="AU11" s="18">
        <f t="shared" si="8"/>
        <v>260000</v>
      </c>
      <c r="AV11" s="18">
        <f t="shared" si="8"/>
        <v>260000</v>
      </c>
      <c r="AW11" s="18">
        <f t="shared" si="8"/>
        <v>260000</v>
      </c>
      <c r="AX11" s="18">
        <f>SUM(AL11:AW11)</f>
        <v>3120000</v>
      </c>
      <c r="AY11" s="24"/>
      <c r="AZ11" s="24"/>
      <c r="BA11" s="24"/>
      <c r="BB11" s="24"/>
    </row>
    <row r="12" spans="1:54">
      <c r="A12" s="35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24"/>
      <c r="P12" s="24"/>
      <c r="Q12" s="24"/>
      <c r="R12" s="24"/>
      <c r="S12" s="35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24"/>
      <c r="AH12" s="24"/>
      <c r="AI12" s="24"/>
      <c r="AJ12" s="24"/>
      <c r="AK12" s="35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24"/>
      <c r="AZ12" s="24"/>
      <c r="BA12" s="24"/>
      <c r="BB12" s="24"/>
    </row>
    <row r="13" spans="1:54">
      <c r="A13" s="35" t="s">
        <v>471</v>
      </c>
      <c r="B13" s="18">
        <v>2400</v>
      </c>
      <c r="C13" s="18">
        <v>2400</v>
      </c>
      <c r="D13" s="18">
        <v>2400</v>
      </c>
      <c r="E13" s="18">
        <v>2400</v>
      </c>
      <c r="F13" s="18">
        <v>2400</v>
      </c>
      <c r="G13" s="18">
        <v>2400</v>
      </c>
      <c r="H13" s="18">
        <v>2400</v>
      </c>
      <c r="I13" s="18">
        <v>2400</v>
      </c>
      <c r="J13" s="18">
        <v>2400</v>
      </c>
      <c r="K13" s="18">
        <v>2400</v>
      </c>
      <c r="L13" s="18">
        <v>2400</v>
      </c>
      <c r="M13" s="18">
        <v>2400</v>
      </c>
      <c r="N13" s="18"/>
      <c r="O13" s="24"/>
      <c r="P13" s="24"/>
      <c r="Q13" s="24"/>
      <c r="R13" s="24"/>
      <c r="S13" s="35" t="s">
        <v>471</v>
      </c>
      <c r="T13" s="18">
        <v>2400</v>
      </c>
      <c r="U13" s="18">
        <v>2400</v>
      </c>
      <c r="V13" s="18">
        <v>2400</v>
      </c>
      <c r="W13" s="18">
        <v>2400</v>
      </c>
      <c r="X13" s="18">
        <v>2400</v>
      </c>
      <c r="Y13" s="18">
        <v>2400</v>
      </c>
      <c r="Z13" s="18">
        <v>2400</v>
      </c>
      <c r="AA13" s="18">
        <v>2400</v>
      </c>
      <c r="AB13" s="18">
        <v>2400</v>
      </c>
      <c r="AC13" s="18">
        <v>2400</v>
      </c>
      <c r="AD13" s="18">
        <v>2400</v>
      </c>
      <c r="AE13" s="18">
        <v>2400</v>
      </c>
      <c r="AF13" s="18"/>
      <c r="AG13" s="24"/>
      <c r="AH13" s="24"/>
      <c r="AI13" s="24"/>
      <c r="AJ13" s="24"/>
      <c r="AK13" s="35" t="s">
        <v>471</v>
      </c>
      <c r="AL13" s="18">
        <v>2400</v>
      </c>
      <c r="AM13" s="18">
        <v>2400</v>
      </c>
      <c r="AN13" s="18">
        <v>2400</v>
      </c>
      <c r="AO13" s="18">
        <v>2400</v>
      </c>
      <c r="AP13" s="18">
        <v>2400</v>
      </c>
      <c r="AQ13" s="18">
        <v>2400</v>
      </c>
      <c r="AR13" s="18">
        <v>2400</v>
      </c>
      <c r="AS13" s="18">
        <v>2400</v>
      </c>
      <c r="AT13" s="18">
        <v>2400</v>
      </c>
      <c r="AU13" s="18">
        <v>2400</v>
      </c>
      <c r="AV13" s="18">
        <v>2400</v>
      </c>
      <c r="AW13" s="18">
        <v>2400</v>
      </c>
      <c r="AX13" s="18"/>
      <c r="AY13" s="24"/>
      <c r="AZ13" s="24"/>
      <c r="BA13" s="24"/>
      <c r="BB13" s="24"/>
    </row>
    <row r="14" spans="1:54">
      <c r="A14" s="35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24"/>
      <c r="P14" s="24"/>
      <c r="Q14" s="24"/>
      <c r="R14" s="24"/>
      <c r="S14" s="35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24"/>
      <c r="AH14" s="24"/>
      <c r="AI14" s="24"/>
      <c r="AJ14" s="24"/>
      <c r="AK14" s="35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24"/>
      <c r="AZ14" s="24"/>
      <c r="BA14" s="24"/>
      <c r="BB14" s="24"/>
    </row>
    <row r="15" spans="1:54">
      <c r="A15" s="37" t="s">
        <v>17</v>
      </c>
      <c r="B15" s="24">
        <v>379</v>
      </c>
      <c r="C15" s="24">
        <v>379</v>
      </c>
      <c r="D15" s="24">
        <v>379</v>
      </c>
      <c r="E15" s="24">
        <v>379</v>
      </c>
      <c r="F15" s="24">
        <v>379</v>
      </c>
      <c r="G15" s="24">
        <v>379</v>
      </c>
      <c r="H15" s="24">
        <v>379</v>
      </c>
      <c r="I15" s="24">
        <v>379</v>
      </c>
      <c r="J15" s="24">
        <v>379</v>
      </c>
      <c r="K15" s="24">
        <v>379</v>
      </c>
      <c r="L15" s="24">
        <v>379</v>
      </c>
      <c r="M15" s="24">
        <v>379</v>
      </c>
      <c r="N15" s="24"/>
      <c r="O15" s="24"/>
      <c r="P15" s="24"/>
      <c r="Q15" s="24"/>
      <c r="R15" s="24"/>
      <c r="S15" s="37" t="s">
        <v>17</v>
      </c>
      <c r="T15" s="24">
        <v>379</v>
      </c>
      <c r="U15" s="24">
        <v>379</v>
      </c>
      <c r="V15" s="24">
        <v>379</v>
      </c>
      <c r="W15" s="24">
        <v>379</v>
      </c>
      <c r="X15" s="24">
        <v>379</v>
      </c>
      <c r="Y15" s="24">
        <v>379</v>
      </c>
      <c r="Z15" s="24">
        <v>379</v>
      </c>
      <c r="AA15" s="24">
        <v>379</v>
      </c>
      <c r="AB15" s="24">
        <v>379</v>
      </c>
      <c r="AC15" s="24">
        <v>379</v>
      </c>
      <c r="AD15" s="24">
        <v>379</v>
      </c>
      <c r="AE15" s="24">
        <v>379</v>
      </c>
      <c r="AF15" s="24"/>
      <c r="AG15" s="24"/>
      <c r="AH15" s="24"/>
      <c r="AI15" s="24"/>
      <c r="AJ15" s="24"/>
      <c r="AK15" s="37" t="s">
        <v>17</v>
      </c>
      <c r="AL15" s="24">
        <v>379</v>
      </c>
      <c r="AM15" s="24">
        <v>379</v>
      </c>
      <c r="AN15" s="24">
        <v>379</v>
      </c>
      <c r="AO15" s="24">
        <v>379</v>
      </c>
      <c r="AP15" s="24">
        <v>379</v>
      </c>
      <c r="AQ15" s="24">
        <v>379</v>
      </c>
      <c r="AR15" s="24">
        <v>379</v>
      </c>
      <c r="AS15" s="24">
        <v>379</v>
      </c>
      <c r="AT15" s="24">
        <v>379</v>
      </c>
      <c r="AU15" s="24">
        <v>379</v>
      </c>
      <c r="AV15" s="24">
        <v>379</v>
      </c>
      <c r="AW15" s="24">
        <v>379</v>
      </c>
      <c r="AX15" s="24"/>
      <c r="AY15" s="24"/>
      <c r="AZ15" s="24"/>
      <c r="BA15" s="24"/>
      <c r="BB15" s="24"/>
    </row>
    <row r="16" spans="1:54">
      <c r="A16" s="37" t="s">
        <v>18</v>
      </c>
      <c r="B16" s="21">
        <f t="shared" ref="B16:M16" si="9">+B17/B15</f>
        <v>14.295174036939315</v>
      </c>
      <c r="C16" s="21">
        <f t="shared" si="9"/>
        <v>14.295174036939315</v>
      </c>
      <c r="D16" s="21">
        <f t="shared" si="9"/>
        <v>13.834049604221633</v>
      </c>
      <c r="E16" s="21">
        <f t="shared" si="9"/>
        <v>14.294857414248021</v>
      </c>
      <c r="F16" s="21">
        <f t="shared" si="9"/>
        <v>13.834049604221633</v>
      </c>
      <c r="G16" s="21">
        <f t="shared" si="9"/>
        <v>14.295147651715039</v>
      </c>
      <c r="H16" s="21">
        <f t="shared" si="9"/>
        <v>14.295147651715039</v>
      </c>
      <c r="I16" s="21">
        <f t="shared" si="9"/>
        <v>12.911484116094986</v>
      </c>
      <c r="J16" s="21">
        <f t="shared" si="9"/>
        <v>14.294936569920845</v>
      </c>
      <c r="K16" s="21">
        <f t="shared" si="9"/>
        <v>13.93707124010554</v>
      </c>
      <c r="L16" s="21">
        <f t="shared" si="9"/>
        <v>14.402316754617413</v>
      </c>
      <c r="M16" s="21">
        <f t="shared" si="9"/>
        <v>13.937721635883905</v>
      </c>
      <c r="N16" s="24"/>
      <c r="O16" s="24"/>
      <c r="P16" s="24"/>
      <c r="Q16" s="24"/>
      <c r="R16" s="24"/>
      <c r="S16" s="37" t="s">
        <v>18</v>
      </c>
      <c r="T16" s="21">
        <f t="shared" ref="T16:AE16" si="10">+T17/T15</f>
        <v>16.701846965699207</v>
      </c>
      <c r="U16" s="21">
        <f t="shared" si="10"/>
        <v>16.701846965699207</v>
      </c>
      <c r="V16" s="21">
        <f t="shared" si="10"/>
        <v>16.701846965699207</v>
      </c>
      <c r="W16" s="21">
        <f t="shared" si="10"/>
        <v>16.701846965699207</v>
      </c>
      <c r="X16" s="21">
        <f t="shared" si="10"/>
        <v>16.701846965699207</v>
      </c>
      <c r="Y16" s="21">
        <f t="shared" si="10"/>
        <v>16.701846965699207</v>
      </c>
      <c r="Z16" s="21">
        <f t="shared" si="10"/>
        <v>16.701846965699207</v>
      </c>
      <c r="AA16" s="21">
        <f t="shared" si="10"/>
        <v>16.701846965699207</v>
      </c>
      <c r="AB16" s="21">
        <f t="shared" si="10"/>
        <v>16.701846965699207</v>
      </c>
      <c r="AC16" s="21">
        <f t="shared" si="10"/>
        <v>16.701846965699207</v>
      </c>
      <c r="AD16" s="21">
        <f t="shared" si="10"/>
        <v>16.701846965699207</v>
      </c>
      <c r="AE16" s="21">
        <f t="shared" si="10"/>
        <v>16.701846965699207</v>
      </c>
      <c r="AF16" s="24"/>
      <c r="AG16" s="24"/>
      <c r="AH16" s="24"/>
      <c r="AI16" s="24"/>
      <c r="AJ16" s="24"/>
      <c r="AK16" s="37" t="s">
        <v>18</v>
      </c>
      <c r="AL16" s="21">
        <f t="shared" ref="AL16:AW16" si="11">+AL17/AL15</f>
        <v>16.701846965699207</v>
      </c>
      <c r="AM16" s="21">
        <f t="shared" si="11"/>
        <v>16.701846965699207</v>
      </c>
      <c r="AN16" s="21">
        <f t="shared" si="11"/>
        <v>16.701846965699207</v>
      </c>
      <c r="AO16" s="21">
        <f t="shared" si="11"/>
        <v>16.701846965699207</v>
      </c>
      <c r="AP16" s="21">
        <f t="shared" si="11"/>
        <v>16.701846965699207</v>
      </c>
      <c r="AQ16" s="21">
        <f t="shared" si="11"/>
        <v>16.701846965699207</v>
      </c>
      <c r="AR16" s="21">
        <f t="shared" si="11"/>
        <v>16.701846965699207</v>
      </c>
      <c r="AS16" s="21">
        <f t="shared" si="11"/>
        <v>16.701846965699207</v>
      </c>
      <c r="AT16" s="21">
        <f t="shared" si="11"/>
        <v>16.701846965699207</v>
      </c>
      <c r="AU16" s="21">
        <f t="shared" si="11"/>
        <v>16.701846965699207</v>
      </c>
      <c r="AV16" s="21">
        <f t="shared" si="11"/>
        <v>16.701846965699207</v>
      </c>
      <c r="AW16" s="21">
        <f t="shared" si="11"/>
        <v>16.701846965699207</v>
      </c>
      <c r="AX16" s="24"/>
      <c r="AY16" s="24"/>
      <c r="AZ16" s="24"/>
      <c r="BA16" s="24"/>
      <c r="BB16" s="24"/>
    </row>
    <row r="17" spans="1:54">
      <c r="A17" s="37" t="s">
        <v>19</v>
      </c>
      <c r="B17" s="361">
        <v>5417.8709600000002</v>
      </c>
      <c r="C17" s="361">
        <v>5417.8709600000002</v>
      </c>
      <c r="D17" s="361">
        <v>5243.1047999999992</v>
      </c>
      <c r="E17" s="361">
        <v>5417.7509600000003</v>
      </c>
      <c r="F17" s="361">
        <v>5243.1047999999992</v>
      </c>
      <c r="G17" s="361">
        <v>5417.86096</v>
      </c>
      <c r="H17" s="361">
        <v>5417.86096</v>
      </c>
      <c r="I17" s="361">
        <v>4893.4524799999999</v>
      </c>
      <c r="J17" s="361">
        <v>5417.7809600000001</v>
      </c>
      <c r="K17" s="453">
        <v>5282.15</v>
      </c>
      <c r="L17" s="453">
        <v>5458.4780499999997</v>
      </c>
      <c r="M17" s="453">
        <v>5282.3964999999998</v>
      </c>
      <c r="N17" s="18">
        <f>SUM(B17:M17)</f>
        <v>63909.682390000002</v>
      </c>
      <c r="O17" s="24"/>
      <c r="P17" s="24"/>
      <c r="Q17" s="24"/>
      <c r="R17" s="24"/>
      <c r="S17" s="37" t="s">
        <v>19</v>
      </c>
      <c r="T17" s="26">
        <v>6330</v>
      </c>
      <c r="U17" s="26">
        <v>6330</v>
      </c>
      <c r="V17" s="26">
        <v>6330</v>
      </c>
      <c r="W17" s="26">
        <v>6330</v>
      </c>
      <c r="X17" s="26">
        <v>6330</v>
      </c>
      <c r="Y17" s="26">
        <v>6330</v>
      </c>
      <c r="Z17" s="26">
        <v>6330</v>
      </c>
      <c r="AA17" s="26">
        <v>6330</v>
      </c>
      <c r="AB17" s="26">
        <v>6330</v>
      </c>
      <c r="AC17" s="26">
        <v>6330</v>
      </c>
      <c r="AD17" s="26">
        <v>6330</v>
      </c>
      <c r="AE17" s="26">
        <v>6330</v>
      </c>
      <c r="AF17" s="18">
        <f>SUM(T17:AE17)</f>
        <v>75960</v>
      </c>
      <c r="AG17" s="24"/>
      <c r="AH17" s="24"/>
      <c r="AI17" s="24"/>
      <c r="AJ17" s="24"/>
      <c r="AK17" s="37" t="s">
        <v>19</v>
      </c>
      <c r="AL17" s="26">
        <v>6330</v>
      </c>
      <c r="AM17" s="26">
        <v>6330</v>
      </c>
      <c r="AN17" s="26">
        <v>6330</v>
      </c>
      <c r="AO17" s="26">
        <v>6330</v>
      </c>
      <c r="AP17" s="26">
        <v>6330</v>
      </c>
      <c r="AQ17" s="26">
        <v>6330</v>
      </c>
      <c r="AR17" s="26">
        <v>6330</v>
      </c>
      <c r="AS17" s="26">
        <v>6330</v>
      </c>
      <c r="AT17" s="26">
        <v>6330</v>
      </c>
      <c r="AU17" s="26">
        <v>6330</v>
      </c>
      <c r="AV17" s="26">
        <v>6330</v>
      </c>
      <c r="AW17" s="26">
        <v>6330</v>
      </c>
      <c r="AX17" s="18">
        <f>SUM(AL17:AW17)</f>
        <v>75960</v>
      </c>
      <c r="AY17" s="24"/>
      <c r="AZ17" s="24"/>
      <c r="BA17" s="24"/>
      <c r="BB17" s="24"/>
    </row>
    <row r="18" spans="1:54">
      <c r="A18" s="3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24"/>
      <c r="P18" s="24"/>
      <c r="Q18" s="24"/>
      <c r="R18" s="24"/>
      <c r="S18" s="3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24"/>
      <c r="AH18" s="24"/>
      <c r="AI18" s="24"/>
      <c r="AJ18" s="24"/>
      <c r="AK18" s="3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24"/>
      <c r="AZ18" s="24"/>
      <c r="BA18" s="24"/>
      <c r="BB18" s="24"/>
    </row>
    <row r="19" spans="1:54">
      <c r="A19" s="35" t="s">
        <v>2</v>
      </c>
      <c r="B19" s="28">
        <f>36000+35000</f>
        <v>71000</v>
      </c>
      <c r="C19" s="28">
        <f>36000+35000</f>
        <v>71000</v>
      </c>
      <c r="D19" s="28">
        <f>36000+35000</f>
        <v>71000</v>
      </c>
      <c r="E19" s="28">
        <f>36000+35000</f>
        <v>71000</v>
      </c>
      <c r="F19" s="28">
        <f>36000+35000</f>
        <v>71000</v>
      </c>
      <c r="G19" s="28">
        <v>71000</v>
      </c>
      <c r="H19" s="28">
        <v>71000</v>
      </c>
      <c r="I19" s="28">
        <v>71000</v>
      </c>
      <c r="J19" s="28">
        <v>71000</v>
      </c>
      <c r="K19" s="28">
        <v>71000</v>
      </c>
      <c r="L19" s="28">
        <v>71000</v>
      </c>
      <c r="M19" s="28">
        <v>71000</v>
      </c>
      <c r="N19" s="24"/>
      <c r="O19" s="24"/>
      <c r="P19" s="24"/>
      <c r="Q19" s="24"/>
      <c r="R19" s="24"/>
      <c r="S19" s="35" t="s">
        <v>2</v>
      </c>
      <c r="T19" s="28">
        <f>36000+35000</f>
        <v>71000</v>
      </c>
      <c r="U19" s="28">
        <f>36000+35000</f>
        <v>71000</v>
      </c>
      <c r="V19" s="28">
        <f>36000+35000</f>
        <v>71000</v>
      </c>
      <c r="W19" s="28">
        <f>36000+35000</f>
        <v>71000</v>
      </c>
      <c r="X19" s="28">
        <f>36000+35000</f>
        <v>71000</v>
      </c>
      <c r="Y19" s="28">
        <v>71000</v>
      </c>
      <c r="Z19" s="28">
        <v>71000</v>
      </c>
      <c r="AA19" s="28">
        <v>71000</v>
      </c>
      <c r="AB19" s="28">
        <v>71000</v>
      </c>
      <c r="AC19" s="28">
        <v>71000</v>
      </c>
      <c r="AD19" s="28">
        <v>71000</v>
      </c>
      <c r="AE19" s="28">
        <v>71000</v>
      </c>
      <c r="AF19" s="24"/>
      <c r="AG19" s="24"/>
      <c r="AH19" s="24"/>
      <c r="AI19" s="24"/>
      <c r="AJ19" s="24"/>
      <c r="AK19" s="35" t="s">
        <v>2</v>
      </c>
      <c r="AL19" s="28">
        <f>36000+35000</f>
        <v>71000</v>
      </c>
      <c r="AM19" s="28">
        <f>36000+35000</f>
        <v>71000</v>
      </c>
      <c r="AN19" s="28">
        <f>36000+35000</f>
        <v>71000</v>
      </c>
      <c r="AO19" s="28">
        <f>36000+35000</f>
        <v>71000</v>
      </c>
      <c r="AP19" s="28">
        <f>36000+35000</f>
        <v>71000</v>
      </c>
      <c r="AQ19" s="28">
        <v>71000</v>
      </c>
      <c r="AR19" s="28">
        <v>71000</v>
      </c>
      <c r="AS19" s="28">
        <v>71000</v>
      </c>
      <c r="AT19" s="28">
        <v>71000</v>
      </c>
      <c r="AU19" s="28">
        <v>71000</v>
      </c>
      <c r="AV19" s="28">
        <v>71000</v>
      </c>
      <c r="AW19" s="28">
        <v>71000</v>
      </c>
      <c r="AX19" s="24"/>
      <c r="AY19" s="24"/>
      <c r="AZ19" s="24"/>
      <c r="BA19" s="24"/>
      <c r="BB19" s="24"/>
    </row>
    <row r="20" spans="1:54">
      <c r="A20" s="35" t="s">
        <v>3</v>
      </c>
      <c r="B20" s="402">
        <v>0.76100000000000001</v>
      </c>
      <c r="C20" s="402">
        <v>0.75800000000000001</v>
      </c>
      <c r="D20" s="402">
        <v>0.755</v>
      </c>
      <c r="E20" s="402">
        <v>0.752</v>
      </c>
      <c r="F20" s="402">
        <v>0.749</v>
      </c>
      <c r="G20" s="402">
        <v>0.746</v>
      </c>
      <c r="H20" s="402">
        <v>0.74199999999999999</v>
      </c>
      <c r="I20" s="402">
        <v>0.73899999999999999</v>
      </c>
      <c r="J20" s="402">
        <v>0.73599999999999999</v>
      </c>
      <c r="K20" s="458">
        <v>0.73299999999999998</v>
      </c>
      <c r="L20" s="458">
        <v>0.73</v>
      </c>
      <c r="M20" s="458">
        <v>0.72699999999999998</v>
      </c>
      <c r="N20" s="24"/>
      <c r="O20" s="24"/>
      <c r="P20" s="24"/>
      <c r="Q20" s="24"/>
      <c r="R20" s="24"/>
      <c r="S20" s="35" t="s">
        <v>3</v>
      </c>
      <c r="T20" s="229">
        <v>0.88</v>
      </c>
      <c r="U20" s="229">
        <v>0.88</v>
      </c>
      <c r="V20" s="229">
        <v>0.88</v>
      </c>
      <c r="W20" s="229">
        <v>0.88</v>
      </c>
      <c r="X20" s="229">
        <v>0.88</v>
      </c>
      <c r="Y20" s="229">
        <v>0.88</v>
      </c>
      <c r="Z20" s="229">
        <v>0.88</v>
      </c>
      <c r="AA20" s="229">
        <v>0.88</v>
      </c>
      <c r="AB20" s="229">
        <v>0.88</v>
      </c>
      <c r="AC20" s="229">
        <v>0.88</v>
      </c>
      <c r="AD20" s="229">
        <v>0.88</v>
      </c>
      <c r="AE20" s="229">
        <v>0.88</v>
      </c>
      <c r="AF20" s="24"/>
      <c r="AG20" s="24"/>
      <c r="AH20" s="24"/>
      <c r="AI20" s="24"/>
      <c r="AJ20" s="24"/>
      <c r="AK20" s="35" t="s">
        <v>3</v>
      </c>
      <c r="AL20" s="229">
        <v>0.88</v>
      </c>
      <c r="AM20" s="229">
        <v>0.88</v>
      </c>
      <c r="AN20" s="229">
        <v>0.88</v>
      </c>
      <c r="AO20" s="229">
        <v>0.88</v>
      </c>
      <c r="AP20" s="229">
        <v>0.88</v>
      </c>
      <c r="AQ20" s="229">
        <v>0.88</v>
      </c>
      <c r="AR20" s="229">
        <v>0.88</v>
      </c>
      <c r="AS20" s="229">
        <v>0.88</v>
      </c>
      <c r="AT20" s="229">
        <v>0.88</v>
      </c>
      <c r="AU20" s="229">
        <v>0.88</v>
      </c>
      <c r="AV20" s="229">
        <v>0.88</v>
      </c>
      <c r="AW20" s="229">
        <v>0.88</v>
      </c>
      <c r="AX20" s="24"/>
      <c r="AY20" s="24"/>
      <c r="AZ20" s="24"/>
      <c r="BA20" s="24"/>
      <c r="BB20" s="24"/>
    </row>
    <row r="21" spans="1:54">
      <c r="A21" s="35" t="s">
        <v>4</v>
      </c>
      <c r="B21" s="66">
        <f t="shared" ref="B21:M21" si="12">B19*B20</f>
        <v>54031</v>
      </c>
      <c r="C21" s="66">
        <f t="shared" si="12"/>
        <v>53818</v>
      </c>
      <c r="D21" s="66">
        <f t="shared" si="12"/>
        <v>53605</v>
      </c>
      <c r="E21" s="66">
        <f t="shared" si="12"/>
        <v>53392</v>
      </c>
      <c r="F21" s="66">
        <f t="shared" si="12"/>
        <v>53179</v>
      </c>
      <c r="G21" s="66">
        <f t="shared" si="12"/>
        <v>52966</v>
      </c>
      <c r="H21" s="66">
        <f t="shared" si="12"/>
        <v>52682</v>
      </c>
      <c r="I21" s="66">
        <f t="shared" si="12"/>
        <v>52469</v>
      </c>
      <c r="J21" s="66">
        <f t="shared" si="12"/>
        <v>52256</v>
      </c>
      <c r="K21" s="66">
        <f t="shared" si="12"/>
        <v>52043</v>
      </c>
      <c r="L21" s="66">
        <f t="shared" si="12"/>
        <v>51830</v>
      </c>
      <c r="M21" s="66">
        <f t="shared" si="12"/>
        <v>51617</v>
      </c>
      <c r="N21" s="18"/>
      <c r="O21" s="24"/>
      <c r="P21" s="24"/>
      <c r="Q21" s="24"/>
      <c r="R21" s="24"/>
      <c r="S21" s="35" t="s">
        <v>4</v>
      </c>
      <c r="T21" s="66">
        <f t="shared" ref="T21:AE21" si="13">T19*T20</f>
        <v>62480</v>
      </c>
      <c r="U21" s="66">
        <f t="shared" si="13"/>
        <v>62480</v>
      </c>
      <c r="V21" s="66">
        <f t="shared" si="13"/>
        <v>62480</v>
      </c>
      <c r="W21" s="66">
        <f t="shared" si="13"/>
        <v>62480</v>
      </c>
      <c r="X21" s="66">
        <f t="shared" si="13"/>
        <v>62480</v>
      </c>
      <c r="Y21" s="66">
        <f t="shared" si="13"/>
        <v>62480</v>
      </c>
      <c r="Z21" s="66">
        <f t="shared" si="13"/>
        <v>62480</v>
      </c>
      <c r="AA21" s="66">
        <f t="shared" si="13"/>
        <v>62480</v>
      </c>
      <c r="AB21" s="66">
        <f t="shared" si="13"/>
        <v>62480</v>
      </c>
      <c r="AC21" s="66">
        <f t="shared" si="13"/>
        <v>62480</v>
      </c>
      <c r="AD21" s="66">
        <f t="shared" si="13"/>
        <v>62480</v>
      </c>
      <c r="AE21" s="66">
        <f t="shared" si="13"/>
        <v>62480</v>
      </c>
      <c r="AF21" s="18">
        <f>SUM(T21:AE21)</f>
        <v>749760</v>
      </c>
      <c r="AG21" s="24"/>
      <c r="AH21" s="24"/>
      <c r="AI21" s="24"/>
      <c r="AJ21" s="24"/>
      <c r="AK21" s="35" t="s">
        <v>4</v>
      </c>
      <c r="AL21" s="66">
        <f t="shared" ref="AL21:AW21" si="14">AL19*AL20</f>
        <v>62480</v>
      </c>
      <c r="AM21" s="66">
        <f t="shared" si="14"/>
        <v>62480</v>
      </c>
      <c r="AN21" s="66">
        <f t="shared" si="14"/>
        <v>62480</v>
      </c>
      <c r="AO21" s="66">
        <f t="shared" si="14"/>
        <v>62480</v>
      </c>
      <c r="AP21" s="66">
        <f t="shared" si="14"/>
        <v>62480</v>
      </c>
      <c r="AQ21" s="66">
        <f t="shared" si="14"/>
        <v>62480</v>
      </c>
      <c r="AR21" s="66">
        <f t="shared" si="14"/>
        <v>62480</v>
      </c>
      <c r="AS21" s="66">
        <f t="shared" si="14"/>
        <v>62480</v>
      </c>
      <c r="AT21" s="66">
        <f t="shared" si="14"/>
        <v>62480</v>
      </c>
      <c r="AU21" s="66">
        <f t="shared" si="14"/>
        <v>62480</v>
      </c>
      <c r="AV21" s="66">
        <f t="shared" si="14"/>
        <v>62480</v>
      </c>
      <c r="AW21" s="66">
        <f t="shared" si="14"/>
        <v>62480</v>
      </c>
      <c r="AX21" s="18">
        <f>SUM(AL21:AW21)</f>
        <v>749760</v>
      </c>
      <c r="AY21" s="24"/>
      <c r="AZ21" s="24"/>
      <c r="BA21" s="24"/>
      <c r="BB21" s="24"/>
    </row>
    <row r="22" spans="1:54" s="230" customFormat="1">
      <c r="A22" s="230" t="s">
        <v>5</v>
      </c>
      <c r="B22" s="190">
        <v>19547.508149000001</v>
      </c>
      <c r="C22" s="190">
        <v>12407.52916</v>
      </c>
      <c r="D22" s="190">
        <v>9086.8282829999989</v>
      </c>
      <c r="E22" s="190">
        <v>67615.641755999997</v>
      </c>
      <c r="F22" s="190">
        <v>19092.654347</v>
      </c>
      <c r="G22" s="190">
        <v>10273.278158000001</v>
      </c>
      <c r="H22" s="190">
        <v>20010.684642</v>
      </c>
      <c r="I22" s="190">
        <v>8610.6996949999993</v>
      </c>
      <c r="J22" s="190">
        <v>11765.257140000002</v>
      </c>
      <c r="K22" s="456">
        <v>12063.97257</v>
      </c>
      <c r="L22" s="456">
        <v>20048.525561999999</v>
      </c>
      <c r="M22" s="456">
        <v>18355.864227999999</v>
      </c>
      <c r="N22" s="116"/>
      <c r="O22" s="28"/>
      <c r="P22" s="28"/>
      <c r="Q22" s="28"/>
      <c r="R22" s="28"/>
      <c r="S22" s="230" t="s">
        <v>5</v>
      </c>
      <c r="T22" s="39">
        <v>20000</v>
      </c>
      <c r="U22" s="39">
        <v>20000</v>
      </c>
      <c r="V22" s="39">
        <v>20000</v>
      </c>
      <c r="W22" s="39">
        <v>20000</v>
      </c>
      <c r="X22" s="39">
        <v>20000</v>
      </c>
      <c r="Y22" s="39">
        <v>20000</v>
      </c>
      <c r="Z22" s="39">
        <v>20000</v>
      </c>
      <c r="AA22" s="39">
        <v>20000</v>
      </c>
      <c r="AB22" s="39">
        <v>20000</v>
      </c>
      <c r="AC22" s="39">
        <v>20000</v>
      </c>
      <c r="AD22" s="39">
        <v>20000</v>
      </c>
      <c r="AE22" s="39">
        <v>20000</v>
      </c>
      <c r="AF22" s="116">
        <f>SUM(T22:AE22)</f>
        <v>240000</v>
      </c>
      <c r="AG22" s="28"/>
      <c r="AH22" s="28"/>
      <c r="AI22" s="28"/>
      <c r="AJ22" s="28"/>
      <c r="AK22" s="230" t="s">
        <v>5</v>
      </c>
      <c r="AL22" s="39">
        <v>20000</v>
      </c>
      <c r="AM22" s="39">
        <v>20000</v>
      </c>
      <c r="AN22" s="39">
        <v>20000</v>
      </c>
      <c r="AO22" s="39">
        <v>20000</v>
      </c>
      <c r="AP22" s="39">
        <v>20000</v>
      </c>
      <c r="AQ22" s="39">
        <v>20000</v>
      </c>
      <c r="AR22" s="39">
        <v>20000</v>
      </c>
      <c r="AS22" s="39">
        <v>20000</v>
      </c>
      <c r="AT22" s="39">
        <v>20000</v>
      </c>
      <c r="AU22" s="39">
        <v>20000</v>
      </c>
      <c r="AV22" s="39">
        <v>20000</v>
      </c>
      <c r="AW22" s="39">
        <v>20000</v>
      </c>
      <c r="AX22" s="116">
        <f>SUM(AL22:AW22)</f>
        <v>240000</v>
      </c>
      <c r="AY22" s="28"/>
      <c r="AZ22" s="28"/>
      <c r="BA22" s="28"/>
      <c r="BB22" s="28"/>
    </row>
    <row r="23" spans="1:54" s="230" customFormat="1">
      <c r="A23" s="230" t="s">
        <v>317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116"/>
      <c r="O23" s="28"/>
      <c r="P23" s="28"/>
      <c r="Q23" s="28"/>
      <c r="R23" s="28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116"/>
      <c r="AG23" s="28"/>
      <c r="AH23" s="28"/>
      <c r="AI23" s="28"/>
      <c r="AJ23" s="28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116"/>
      <c r="AY23" s="28"/>
      <c r="AZ23" s="28"/>
      <c r="BA23" s="28"/>
      <c r="BB23" s="28"/>
    </row>
    <row r="24" spans="1:54">
      <c r="A24" s="37" t="s">
        <v>6</v>
      </c>
      <c r="B24" s="26">
        <f t="shared" ref="B24:M24" si="15">(B19*B20)+B22</f>
        <v>73578.508149000001</v>
      </c>
      <c r="C24" s="26">
        <f t="shared" si="15"/>
        <v>66225.529160000006</v>
      </c>
      <c r="D24" s="26">
        <f t="shared" si="15"/>
        <v>62691.828282999995</v>
      </c>
      <c r="E24" s="26">
        <f t="shared" si="15"/>
        <v>121007.641756</v>
      </c>
      <c r="F24" s="26">
        <f t="shared" si="15"/>
        <v>72271.654347000003</v>
      </c>
      <c r="G24" s="26">
        <f t="shared" si="15"/>
        <v>63239.278158000001</v>
      </c>
      <c r="H24" s="26">
        <f t="shared" si="15"/>
        <v>72692.684642000007</v>
      </c>
      <c r="I24" s="26">
        <f t="shared" si="15"/>
        <v>61079.699695000003</v>
      </c>
      <c r="J24" s="26">
        <f t="shared" si="15"/>
        <v>64021.257140000002</v>
      </c>
      <c r="K24" s="26">
        <f t="shared" si="15"/>
        <v>64106.972569999998</v>
      </c>
      <c r="L24" s="26">
        <f t="shared" si="15"/>
        <v>71878.525561999995</v>
      </c>
      <c r="M24" s="26">
        <f t="shared" si="15"/>
        <v>69972.864227999991</v>
      </c>
      <c r="N24" s="18">
        <f>SUM(B24:M24)</f>
        <v>862766.44368999987</v>
      </c>
      <c r="O24" s="24"/>
      <c r="P24" s="24"/>
      <c r="Q24" s="24"/>
      <c r="R24" s="24"/>
      <c r="S24" s="37" t="s">
        <v>6</v>
      </c>
      <c r="T24" s="26">
        <f t="shared" ref="T24:AE24" si="16">(T19*T20)+T22</f>
        <v>82480</v>
      </c>
      <c r="U24" s="26">
        <f t="shared" si="16"/>
        <v>82480</v>
      </c>
      <c r="V24" s="26">
        <f t="shared" si="16"/>
        <v>82480</v>
      </c>
      <c r="W24" s="26">
        <f t="shared" si="16"/>
        <v>82480</v>
      </c>
      <c r="X24" s="26">
        <f t="shared" si="16"/>
        <v>82480</v>
      </c>
      <c r="Y24" s="26">
        <f t="shared" si="16"/>
        <v>82480</v>
      </c>
      <c r="Z24" s="26">
        <f t="shared" si="16"/>
        <v>82480</v>
      </c>
      <c r="AA24" s="26">
        <f t="shared" si="16"/>
        <v>82480</v>
      </c>
      <c r="AB24" s="26">
        <f t="shared" si="16"/>
        <v>82480</v>
      </c>
      <c r="AC24" s="26">
        <f t="shared" si="16"/>
        <v>82480</v>
      </c>
      <c r="AD24" s="26">
        <f t="shared" si="16"/>
        <v>82480</v>
      </c>
      <c r="AE24" s="26">
        <f t="shared" si="16"/>
        <v>82480</v>
      </c>
      <c r="AF24" s="18">
        <f>SUM(T24:AE24)</f>
        <v>989760</v>
      </c>
      <c r="AG24" s="24"/>
      <c r="AH24" s="24"/>
      <c r="AI24" s="24"/>
      <c r="AJ24" s="24"/>
      <c r="AK24" s="37" t="s">
        <v>6</v>
      </c>
      <c r="AL24" s="26">
        <f t="shared" ref="AL24:AW24" si="17">(AL19*AL20)+AL22</f>
        <v>82480</v>
      </c>
      <c r="AM24" s="26">
        <f t="shared" si="17"/>
        <v>82480</v>
      </c>
      <c r="AN24" s="26">
        <f t="shared" si="17"/>
        <v>82480</v>
      </c>
      <c r="AO24" s="26">
        <f t="shared" si="17"/>
        <v>82480</v>
      </c>
      <c r="AP24" s="26">
        <f t="shared" si="17"/>
        <v>82480</v>
      </c>
      <c r="AQ24" s="26">
        <f t="shared" si="17"/>
        <v>82480</v>
      </c>
      <c r="AR24" s="26">
        <f t="shared" si="17"/>
        <v>82480</v>
      </c>
      <c r="AS24" s="26">
        <f t="shared" si="17"/>
        <v>82480</v>
      </c>
      <c r="AT24" s="26">
        <f t="shared" si="17"/>
        <v>82480</v>
      </c>
      <c r="AU24" s="26">
        <f t="shared" si="17"/>
        <v>82480</v>
      </c>
      <c r="AV24" s="26">
        <f t="shared" si="17"/>
        <v>82480</v>
      </c>
      <c r="AW24" s="26">
        <f t="shared" si="17"/>
        <v>82480</v>
      </c>
      <c r="AX24" s="18">
        <f>SUM(AL24:AW24)</f>
        <v>989760</v>
      </c>
      <c r="AY24" s="24"/>
      <c r="AZ24" s="24"/>
      <c r="BA24" s="24"/>
      <c r="BB24" s="24"/>
    </row>
    <row r="25" spans="1:54"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18"/>
      <c r="O25" s="24"/>
      <c r="P25" s="24"/>
      <c r="Q25" s="24"/>
      <c r="R25" s="24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18"/>
      <c r="AG25" s="24"/>
      <c r="AH25" s="24"/>
      <c r="AI25" s="24"/>
      <c r="AJ25" s="24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18"/>
      <c r="AY25" s="24"/>
      <c r="AZ25" s="24"/>
      <c r="BA25" s="24"/>
      <c r="BB25" s="24"/>
    </row>
    <row r="26" spans="1:54">
      <c r="A26" s="350" t="s">
        <v>189</v>
      </c>
      <c r="B26" s="26">
        <f t="shared" ref="B26:M26" si="18">SUM(,B7,B11,B13,B17,B24)</f>
        <v>402350.068509</v>
      </c>
      <c r="C26" s="26">
        <f t="shared" si="18"/>
        <v>394997.08952000004</v>
      </c>
      <c r="D26" s="26">
        <f t="shared" si="18"/>
        <v>391288.62248299993</v>
      </c>
      <c r="E26" s="26">
        <f t="shared" si="18"/>
        <v>449779.08211599995</v>
      </c>
      <c r="F26" s="26">
        <f t="shared" si="18"/>
        <v>399322.36414699996</v>
      </c>
      <c r="G26" s="26">
        <f t="shared" si="18"/>
        <v>390464.74411800003</v>
      </c>
      <c r="H26" s="26">
        <f t="shared" si="18"/>
        <v>399918.15060200001</v>
      </c>
      <c r="I26" s="26">
        <f t="shared" si="18"/>
        <v>387780.75717499998</v>
      </c>
      <c r="J26" s="26">
        <f t="shared" si="18"/>
        <v>391246.64309999999</v>
      </c>
      <c r="K26" s="26">
        <f t="shared" si="18"/>
        <v>391196.72756999999</v>
      </c>
      <c r="L26" s="26">
        <f t="shared" si="18"/>
        <v>399144.60861199995</v>
      </c>
      <c r="M26" s="26">
        <f t="shared" si="18"/>
        <v>397062.86572799995</v>
      </c>
      <c r="N26" s="18">
        <f>SUM(B26:M26)</f>
        <v>4794551.7236799998</v>
      </c>
      <c r="O26" s="39">
        <f>N26/12</f>
        <v>399545.97697333334</v>
      </c>
      <c r="P26" s="28">
        <f>15054+25000</f>
        <v>40054</v>
      </c>
      <c r="Q26" s="197">
        <f>O26/P26</f>
        <v>9.9751829273813684</v>
      </c>
      <c r="R26" s="197">
        <f>(Q26*1.04)/(1-0.025)</f>
        <v>10.640195122540128</v>
      </c>
      <c r="S26" s="350" t="s">
        <v>189</v>
      </c>
      <c r="T26" s="26">
        <f t="shared" ref="T26:AE26" si="19">SUM(,T7,T11,T13,T17,T24)</f>
        <v>417447.6</v>
      </c>
      <c r="U26" s="26">
        <f t="shared" si="19"/>
        <v>417447.6</v>
      </c>
      <c r="V26" s="26">
        <f t="shared" si="19"/>
        <v>417447.6</v>
      </c>
      <c r="W26" s="26">
        <f t="shared" si="19"/>
        <v>417447.6</v>
      </c>
      <c r="X26" s="26">
        <f t="shared" si="19"/>
        <v>417447.6</v>
      </c>
      <c r="Y26" s="26">
        <f t="shared" si="19"/>
        <v>417447.6</v>
      </c>
      <c r="Z26" s="26">
        <f t="shared" si="19"/>
        <v>417447.6</v>
      </c>
      <c r="AA26" s="26">
        <f t="shared" si="19"/>
        <v>417447.6</v>
      </c>
      <c r="AB26" s="26">
        <f t="shared" si="19"/>
        <v>417447.6</v>
      </c>
      <c r="AC26" s="26">
        <f t="shared" si="19"/>
        <v>417447.6</v>
      </c>
      <c r="AD26" s="26">
        <f t="shared" si="19"/>
        <v>417447.6</v>
      </c>
      <c r="AE26" s="26">
        <f t="shared" si="19"/>
        <v>417447.6</v>
      </c>
      <c r="AF26" s="18">
        <f>SUM(T26:AE26)</f>
        <v>5009371.2</v>
      </c>
      <c r="AG26" s="39">
        <f>AF26/12</f>
        <v>417447.60000000003</v>
      </c>
      <c r="AH26" s="28">
        <f>15054+25000</f>
        <v>40054</v>
      </c>
      <c r="AI26" s="17">
        <f>AG26/AH26</f>
        <v>10.422120137813952</v>
      </c>
      <c r="AJ26" s="197">
        <f>(AI26*1.04)/(1-0.025)</f>
        <v>11.116928147001548</v>
      </c>
      <c r="AK26" s="350" t="s">
        <v>189</v>
      </c>
      <c r="AL26" s="26">
        <f t="shared" ref="AL26:AW26" si="20">SUM(,AL7,AL11,AL13,AL17,AL24)</f>
        <v>417447.6</v>
      </c>
      <c r="AM26" s="26">
        <f t="shared" si="20"/>
        <v>417447.6</v>
      </c>
      <c r="AN26" s="26">
        <f t="shared" si="20"/>
        <v>417447.6</v>
      </c>
      <c r="AO26" s="26">
        <f t="shared" si="20"/>
        <v>417447.6</v>
      </c>
      <c r="AP26" s="26">
        <f t="shared" si="20"/>
        <v>417447.6</v>
      </c>
      <c r="AQ26" s="26">
        <f t="shared" si="20"/>
        <v>417447.6</v>
      </c>
      <c r="AR26" s="26">
        <f t="shared" si="20"/>
        <v>417447.6</v>
      </c>
      <c r="AS26" s="26">
        <f t="shared" si="20"/>
        <v>417447.6</v>
      </c>
      <c r="AT26" s="26">
        <f t="shared" si="20"/>
        <v>417447.6</v>
      </c>
      <c r="AU26" s="26">
        <f t="shared" si="20"/>
        <v>417447.6</v>
      </c>
      <c r="AV26" s="26">
        <f t="shared" si="20"/>
        <v>417447.6</v>
      </c>
      <c r="AW26" s="26">
        <f t="shared" si="20"/>
        <v>417447.6</v>
      </c>
      <c r="AX26" s="18">
        <f>SUM(AL26:AW26)</f>
        <v>5009371.2</v>
      </c>
      <c r="AY26" s="39">
        <f>AX26/12</f>
        <v>417447.60000000003</v>
      </c>
      <c r="AZ26" s="28">
        <f>15054+25000</f>
        <v>40054</v>
      </c>
      <c r="BA26" s="17">
        <f>AY26/AZ26</f>
        <v>10.422120137813952</v>
      </c>
      <c r="BB26" s="197">
        <f>(BA26*1.04)/(1-0.025)</f>
        <v>11.116928147001548</v>
      </c>
    </row>
    <row r="27" spans="1:54"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18"/>
      <c r="O27" s="24"/>
      <c r="P27" s="24"/>
      <c r="Q27" s="24"/>
      <c r="R27" s="24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18"/>
      <c r="AG27" s="24"/>
      <c r="AH27" s="24"/>
      <c r="AI27" s="24"/>
      <c r="AJ27" s="24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18"/>
      <c r="AY27" s="24"/>
      <c r="AZ27" s="24"/>
      <c r="BA27" s="24"/>
      <c r="BB27" s="24"/>
    </row>
    <row r="28" spans="1:54">
      <c r="A28" s="35" t="s">
        <v>7</v>
      </c>
      <c r="B28" s="36">
        <v>52086</v>
      </c>
      <c r="C28" s="36">
        <v>52086</v>
      </c>
      <c r="D28" s="36">
        <v>52086</v>
      </c>
      <c r="E28" s="36">
        <v>52086</v>
      </c>
      <c r="F28" s="36">
        <v>52086</v>
      </c>
      <c r="G28" s="36">
        <v>52086</v>
      </c>
      <c r="H28" s="36">
        <v>52086</v>
      </c>
      <c r="I28" s="36">
        <v>52086</v>
      </c>
      <c r="J28" s="36">
        <v>52086</v>
      </c>
      <c r="K28" s="36">
        <v>52086</v>
      </c>
      <c r="L28" s="36">
        <v>52086</v>
      </c>
      <c r="M28" s="36">
        <v>52086</v>
      </c>
      <c r="N28" s="15"/>
      <c r="O28" s="24"/>
      <c r="P28" s="24"/>
      <c r="Q28" s="24"/>
      <c r="R28" s="24"/>
      <c r="S28" s="35" t="s">
        <v>7</v>
      </c>
      <c r="T28" s="36">
        <v>52086</v>
      </c>
      <c r="U28" s="36">
        <v>52086</v>
      </c>
      <c r="V28" s="36">
        <v>52086</v>
      </c>
      <c r="W28" s="36">
        <v>52086</v>
      </c>
      <c r="X28" s="36">
        <v>52086</v>
      </c>
      <c r="Y28" s="36">
        <v>52086</v>
      </c>
      <c r="Z28" s="36">
        <v>52086</v>
      </c>
      <c r="AA28" s="36">
        <v>52086</v>
      </c>
      <c r="AB28" s="36">
        <v>52086</v>
      </c>
      <c r="AC28" s="36">
        <v>52086</v>
      </c>
      <c r="AD28" s="36">
        <v>52086</v>
      </c>
      <c r="AE28" s="36">
        <v>52086</v>
      </c>
      <c r="AF28" s="15"/>
      <c r="AG28" s="24"/>
      <c r="AH28" s="24"/>
      <c r="AI28" s="24"/>
      <c r="AJ28" s="24"/>
      <c r="AK28" s="35" t="s">
        <v>7</v>
      </c>
      <c r="AL28" s="36">
        <v>52086</v>
      </c>
      <c r="AM28" s="36">
        <v>52086</v>
      </c>
      <c r="AN28" s="36">
        <v>52086</v>
      </c>
      <c r="AO28" s="36">
        <v>52086</v>
      </c>
      <c r="AP28" s="36">
        <v>52086</v>
      </c>
      <c r="AQ28" s="36">
        <v>52086</v>
      </c>
      <c r="AR28" s="36">
        <v>52086</v>
      </c>
      <c r="AS28" s="36">
        <v>52086</v>
      </c>
      <c r="AT28" s="36">
        <v>52086</v>
      </c>
      <c r="AU28" s="36">
        <v>52086</v>
      </c>
      <c r="AV28" s="36">
        <v>52086</v>
      </c>
      <c r="AW28" s="36">
        <v>52086</v>
      </c>
      <c r="AX28" s="15"/>
      <c r="AY28" s="24"/>
      <c r="AZ28" s="24"/>
      <c r="BA28" s="24"/>
      <c r="BB28" s="24"/>
    </row>
    <row r="29" spans="1:54">
      <c r="A29" s="35" t="s">
        <v>8</v>
      </c>
      <c r="B29" s="401">
        <v>3.145</v>
      </c>
      <c r="C29" s="401">
        <v>3.145</v>
      </c>
      <c r="D29" s="401">
        <v>3.145</v>
      </c>
      <c r="E29" s="401">
        <v>3.145</v>
      </c>
      <c r="F29" s="401">
        <v>3.145</v>
      </c>
      <c r="G29" s="401">
        <v>3.145</v>
      </c>
      <c r="H29" s="401">
        <v>3.145</v>
      </c>
      <c r="I29" s="401">
        <v>3.145</v>
      </c>
      <c r="J29" s="401">
        <v>3.145</v>
      </c>
      <c r="K29" s="401">
        <v>3.145</v>
      </c>
      <c r="L29" s="401">
        <v>5.4919000000000002</v>
      </c>
      <c r="M29" s="401">
        <v>5.4919000000000002</v>
      </c>
      <c r="N29" s="15"/>
      <c r="O29" s="24"/>
      <c r="P29" s="24"/>
      <c r="Q29" s="24"/>
      <c r="R29" s="24"/>
      <c r="S29" s="35" t="s">
        <v>8</v>
      </c>
      <c r="T29" s="23">
        <v>5.5</v>
      </c>
      <c r="U29" s="23">
        <v>5.5</v>
      </c>
      <c r="V29" s="23">
        <v>5.5</v>
      </c>
      <c r="W29" s="23">
        <v>5.5</v>
      </c>
      <c r="X29" s="23">
        <v>5.5</v>
      </c>
      <c r="Y29" s="23">
        <v>5.5</v>
      </c>
      <c r="Z29" s="23">
        <v>5.5</v>
      </c>
      <c r="AA29" s="23">
        <v>5.5</v>
      </c>
      <c r="AB29" s="23">
        <v>5.5</v>
      </c>
      <c r="AC29" s="23">
        <v>5.5</v>
      </c>
      <c r="AD29" s="23">
        <v>5.5</v>
      </c>
      <c r="AE29" s="23">
        <v>5.5</v>
      </c>
      <c r="AF29" s="15"/>
      <c r="AG29" s="24"/>
      <c r="AH29" s="24"/>
      <c r="AI29" s="24"/>
      <c r="AJ29" s="24"/>
      <c r="AK29" s="35" t="s">
        <v>8</v>
      </c>
      <c r="AL29" s="23">
        <v>5.5</v>
      </c>
      <c r="AM29" s="23">
        <v>5.5</v>
      </c>
      <c r="AN29" s="23">
        <v>5.5</v>
      </c>
      <c r="AO29" s="23">
        <v>5.5</v>
      </c>
      <c r="AP29" s="23">
        <v>5.5</v>
      </c>
      <c r="AQ29" s="23">
        <v>5.5</v>
      </c>
      <c r="AR29" s="23">
        <v>5.5</v>
      </c>
      <c r="AS29" s="23">
        <v>5.5</v>
      </c>
      <c r="AT29" s="23">
        <v>5.5</v>
      </c>
      <c r="AU29" s="23">
        <v>5.5</v>
      </c>
      <c r="AV29" s="23">
        <v>5.5</v>
      </c>
      <c r="AW29" s="23">
        <v>5.5</v>
      </c>
      <c r="AX29" s="15"/>
      <c r="AY29" s="24"/>
      <c r="AZ29" s="24"/>
      <c r="BA29" s="24"/>
      <c r="BB29" s="24"/>
    </row>
    <row r="30" spans="1:54">
      <c r="A30" s="35" t="s">
        <v>9</v>
      </c>
      <c r="B30" s="18">
        <f t="shared" ref="B30:M30" si="21">+B28*B29</f>
        <v>163810.47</v>
      </c>
      <c r="C30" s="18">
        <f t="shared" si="21"/>
        <v>163810.47</v>
      </c>
      <c r="D30" s="18">
        <f t="shared" si="21"/>
        <v>163810.47</v>
      </c>
      <c r="E30" s="18">
        <f t="shared" si="21"/>
        <v>163810.47</v>
      </c>
      <c r="F30" s="18">
        <f t="shared" si="21"/>
        <v>163810.47</v>
      </c>
      <c r="G30" s="18">
        <f t="shared" si="21"/>
        <v>163810.47</v>
      </c>
      <c r="H30" s="18">
        <f t="shared" si="21"/>
        <v>163810.47</v>
      </c>
      <c r="I30" s="18">
        <f t="shared" si="21"/>
        <v>163810.47</v>
      </c>
      <c r="J30" s="18">
        <f t="shared" si="21"/>
        <v>163810.47</v>
      </c>
      <c r="K30" s="18">
        <f t="shared" si="21"/>
        <v>163810.47</v>
      </c>
      <c r="L30" s="18">
        <f t="shared" si="21"/>
        <v>286051.10340000002</v>
      </c>
      <c r="M30" s="18">
        <f t="shared" si="21"/>
        <v>286051.10340000002</v>
      </c>
      <c r="N30" s="18">
        <f>SUM(B30:M30)</f>
        <v>2210206.9068</v>
      </c>
      <c r="O30" s="24"/>
      <c r="P30" s="24"/>
      <c r="Q30" s="24"/>
      <c r="R30" s="24"/>
      <c r="S30" s="35" t="s">
        <v>9</v>
      </c>
      <c r="T30" s="18">
        <f t="shared" ref="T30:AE30" si="22">+T28*T29</f>
        <v>286473</v>
      </c>
      <c r="U30" s="18">
        <f t="shared" si="22"/>
        <v>286473</v>
      </c>
      <c r="V30" s="18">
        <f t="shared" si="22"/>
        <v>286473</v>
      </c>
      <c r="W30" s="18">
        <f t="shared" si="22"/>
        <v>286473</v>
      </c>
      <c r="X30" s="18">
        <f t="shared" si="22"/>
        <v>286473</v>
      </c>
      <c r="Y30" s="18">
        <f t="shared" si="22"/>
        <v>286473</v>
      </c>
      <c r="Z30" s="18">
        <f t="shared" si="22"/>
        <v>286473</v>
      </c>
      <c r="AA30" s="18">
        <f t="shared" si="22"/>
        <v>286473</v>
      </c>
      <c r="AB30" s="18">
        <f t="shared" si="22"/>
        <v>286473</v>
      </c>
      <c r="AC30" s="18">
        <f t="shared" si="22"/>
        <v>286473</v>
      </c>
      <c r="AD30" s="18">
        <f t="shared" si="22"/>
        <v>286473</v>
      </c>
      <c r="AE30" s="18">
        <f t="shared" si="22"/>
        <v>286473</v>
      </c>
      <c r="AF30" s="18">
        <f>SUM(T30:AE30)</f>
        <v>3437676</v>
      </c>
      <c r="AG30" s="24"/>
      <c r="AH30" s="24"/>
      <c r="AI30" s="24"/>
      <c r="AJ30" s="24"/>
      <c r="AK30" s="35" t="s">
        <v>9</v>
      </c>
      <c r="AL30" s="18">
        <f t="shared" ref="AL30:AW30" si="23">+AL28*AL29</f>
        <v>286473</v>
      </c>
      <c r="AM30" s="18">
        <f t="shared" si="23"/>
        <v>286473</v>
      </c>
      <c r="AN30" s="18">
        <f t="shared" si="23"/>
        <v>286473</v>
      </c>
      <c r="AO30" s="18">
        <f t="shared" si="23"/>
        <v>286473</v>
      </c>
      <c r="AP30" s="18">
        <f t="shared" si="23"/>
        <v>286473</v>
      </c>
      <c r="AQ30" s="18">
        <f t="shared" si="23"/>
        <v>286473</v>
      </c>
      <c r="AR30" s="18">
        <f t="shared" si="23"/>
        <v>286473</v>
      </c>
      <c r="AS30" s="18">
        <f t="shared" si="23"/>
        <v>286473</v>
      </c>
      <c r="AT30" s="18">
        <f t="shared" si="23"/>
        <v>286473</v>
      </c>
      <c r="AU30" s="18">
        <f t="shared" si="23"/>
        <v>286473</v>
      </c>
      <c r="AV30" s="18">
        <f t="shared" si="23"/>
        <v>286473</v>
      </c>
      <c r="AW30" s="18">
        <f t="shared" si="23"/>
        <v>286473</v>
      </c>
      <c r="AX30" s="18">
        <f>SUM(AL30:AW30)</f>
        <v>3437676</v>
      </c>
      <c r="AY30" s="24"/>
      <c r="AZ30" s="24"/>
      <c r="BA30" s="24"/>
      <c r="BB30" s="24"/>
    </row>
    <row r="31" spans="1:54">
      <c r="A31" s="3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472"/>
      <c r="M31" s="15"/>
      <c r="N31" s="15"/>
      <c r="O31" s="24"/>
      <c r="P31" s="24"/>
      <c r="Q31" s="24"/>
      <c r="R31" s="24"/>
      <c r="S31" s="3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24"/>
      <c r="AH31" s="24"/>
      <c r="AI31" s="24"/>
      <c r="AJ31" s="24"/>
      <c r="AK31" s="3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24"/>
      <c r="AZ31" s="24"/>
      <c r="BA31" s="24"/>
      <c r="BB31" s="24"/>
    </row>
    <row r="32" spans="1:54">
      <c r="A32" s="35" t="s">
        <v>10</v>
      </c>
      <c r="B32" s="15">
        <f>35979+15000</f>
        <v>50979</v>
      </c>
      <c r="C32" s="15">
        <f t="shared" ref="C32:M32" si="24">35979+15000</f>
        <v>50979</v>
      </c>
      <c r="D32" s="15">
        <f t="shared" si="24"/>
        <v>50979</v>
      </c>
      <c r="E32" s="15">
        <f t="shared" si="24"/>
        <v>50979</v>
      </c>
      <c r="F32" s="15">
        <f t="shared" si="24"/>
        <v>50979</v>
      </c>
      <c r="G32" s="15">
        <f t="shared" si="24"/>
        <v>50979</v>
      </c>
      <c r="H32" s="15">
        <f t="shared" si="24"/>
        <v>50979</v>
      </c>
      <c r="I32" s="15">
        <f t="shared" si="24"/>
        <v>50979</v>
      </c>
      <c r="J32" s="15">
        <f t="shared" si="24"/>
        <v>50979</v>
      </c>
      <c r="K32" s="15">
        <f t="shared" si="24"/>
        <v>50979</v>
      </c>
      <c r="L32" s="15">
        <f t="shared" si="24"/>
        <v>50979</v>
      </c>
      <c r="M32" s="15">
        <f t="shared" si="24"/>
        <v>50979</v>
      </c>
      <c r="N32" s="15"/>
      <c r="O32" s="24"/>
      <c r="P32" s="24"/>
      <c r="Q32" s="24"/>
      <c r="R32" s="24"/>
      <c r="S32" s="35" t="s">
        <v>10</v>
      </c>
      <c r="T32" s="15">
        <f>35979+15000</f>
        <v>50979</v>
      </c>
      <c r="U32" s="15">
        <f t="shared" ref="U32:AE32" si="25">35979+15000</f>
        <v>50979</v>
      </c>
      <c r="V32" s="15">
        <f t="shared" si="25"/>
        <v>50979</v>
      </c>
      <c r="W32" s="15">
        <f t="shared" si="25"/>
        <v>50979</v>
      </c>
      <c r="X32" s="15">
        <f t="shared" si="25"/>
        <v>50979</v>
      </c>
      <c r="Y32" s="15">
        <f t="shared" si="25"/>
        <v>50979</v>
      </c>
      <c r="Z32" s="15">
        <f t="shared" si="25"/>
        <v>50979</v>
      </c>
      <c r="AA32" s="15">
        <f t="shared" si="25"/>
        <v>50979</v>
      </c>
      <c r="AB32" s="15">
        <f t="shared" si="25"/>
        <v>50979</v>
      </c>
      <c r="AC32" s="15">
        <f t="shared" si="25"/>
        <v>50979</v>
      </c>
      <c r="AD32" s="15">
        <f t="shared" si="25"/>
        <v>50979</v>
      </c>
      <c r="AE32" s="15">
        <f t="shared" si="25"/>
        <v>50979</v>
      </c>
      <c r="AF32" s="15"/>
      <c r="AG32" s="24"/>
      <c r="AH32" s="24"/>
      <c r="AI32" s="24"/>
      <c r="AJ32" s="24"/>
      <c r="AK32" s="35" t="s">
        <v>10</v>
      </c>
      <c r="AL32" s="15">
        <f>35979+15000</f>
        <v>50979</v>
      </c>
      <c r="AM32" s="15">
        <f t="shared" ref="AM32:AW32" si="26">35979+15000</f>
        <v>50979</v>
      </c>
      <c r="AN32" s="15">
        <f t="shared" si="26"/>
        <v>50979</v>
      </c>
      <c r="AO32" s="15">
        <f t="shared" si="26"/>
        <v>50979</v>
      </c>
      <c r="AP32" s="15">
        <f t="shared" si="26"/>
        <v>50979</v>
      </c>
      <c r="AQ32" s="15">
        <f t="shared" si="26"/>
        <v>50979</v>
      </c>
      <c r="AR32" s="15">
        <f t="shared" si="26"/>
        <v>50979</v>
      </c>
      <c r="AS32" s="15">
        <f t="shared" si="26"/>
        <v>50979</v>
      </c>
      <c r="AT32" s="15">
        <f t="shared" si="26"/>
        <v>50979</v>
      </c>
      <c r="AU32" s="15">
        <f t="shared" si="26"/>
        <v>50979</v>
      </c>
      <c r="AV32" s="15">
        <f t="shared" si="26"/>
        <v>50979</v>
      </c>
      <c r="AW32" s="15">
        <f t="shared" si="26"/>
        <v>50979</v>
      </c>
      <c r="AX32" s="15"/>
      <c r="AY32" s="24"/>
      <c r="AZ32" s="24"/>
      <c r="BA32" s="24"/>
      <c r="BB32" s="24"/>
    </row>
    <row r="33" spans="1:54">
      <c r="A33" s="35" t="s">
        <v>11</v>
      </c>
      <c r="B33" s="401">
        <v>6.0750000000000002</v>
      </c>
      <c r="C33" s="401">
        <v>6.0750000000000002</v>
      </c>
      <c r="D33" s="401">
        <v>6.0750000000000002</v>
      </c>
      <c r="E33" s="401">
        <v>6.0750000000000002</v>
      </c>
      <c r="F33" s="401">
        <v>6.0750000000000002</v>
      </c>
      <c r="G33" s="401">
        <v>6.0750000000000002</v>
      </c>
      <c r="H33" s="401">
        <v>6.0750000000000002</v>
      </c>
      <c r="I33" s="401">
        <v>6.069</v>
      </c>
      <c r="J33" s="401">
        <v>6.069</v>
      </c>
      <c r="K33" s="459">
        <v>6.0019999999999998</v>
      </c>
      <c r="L33" s="459">
        <v>6.0019999999999998</v>
      </c>
      <c r="M33" s="459">
        <v>6.0019999999999998</v>
      </c>
      <c r="N33" s="23"/>
      <c r="O33" s="24"/>
      <c r="P33" s="24"/>
      <c r="Q33" s="24"/>
      <c r="R33" s="24"/>
      <c r="S33" s="35" t="s">
        <v>11</v>
      </c>
      <c r="T33" s="23">
        <v>5.95</v>
      </c>
      <c r="U33" s="23">
        <v>5.95</v>
      </c>
      <c r="V33" s="23">
        <v>5.95</v>
      </c>
      <c r="W33" s="23">
        <v>5.95</v>
      </c>
      <c r="X33" s="23">
        <v>5.95</v>
      </c>
      <c r="Y33" s="23">
        <v>5.95</v>
      </c>
      <c r="Z33" s="23">
        <v>5.95</v>
      </c>
      <c r="AA33" s="23">
        <v>5.95</v>
      </c>
      <c r="AB33" s="23">
        <v>5.95</v>
      </c>
      <c r="AC33" s="23">
        <v>5.95</v>
      </c>
      <c r="AD33" s="23">
        <v>5.95</v>
      </c>
      <c r="AE33" s="23">
        <v>5.95</v>
      </c>
      <c r="AF33" s="15"/>
      <c r="AG33" s="24"/>
      <c r="AH33" s="24"/>
      <c r="AI33" s="24"/>
      <c r="AJ33" s="24"/>
      <c r="AK33" s="35" t="s">
        <v>11</v>
      </c>
      <c r="AL33" s="23">
        <v>5.95</v>
      </c>
      <c r="AM33" s="23">
        <v>5.95</v>
      </c>
      <c r="AN33" s="23">
        <v>5.95</v>
      </c>
      <c r="AO33" s="23">
        <v>5.95</v>
      </c>
      <c r="AP33" s="23">
        <v>5.95</v>
      </c>
      <c r="AQ33" s="23">
        <v>5.95</v>
      </c>
      <c r="AR33" s="23">
        <v>5.95</v>
      </c>
      <c r="AS33" s="23">
        <v>5.95</v>
      </c>
      <c r="AT33" s="23">
        <v>5.95</v>
      </c>
      <c r="AU33" s="23">
        <v>5.95</v>
      </c>
      <c r="AV33" s="23">
        <v>5.95</v>
      </c>
      <c r="AW33" s="23">
        <v>5.95</v>
      </c>
      <c r="AX33" s="15"/>
      <c r="AY33" s="24"/>
      <c r="AZ33" s="24"/>
      <c r="BA33" s="24"/>
      <c r="BB33" s="24"/>
    </row>
    <row r="34" spans="1:54">
      <c r="A34" s="35" t="s">
        <v>12</v>
      </c>
      <c r="B34" s="18">
        <f t="shared" ref="B34:M34" si="27">+B32*B33</f>
        <v>309697.42499999999</v>
      </c>
      <c r="C34" s="18">
        <f t="shared" si="27"/>
        <v>309697.42499999999</v>
      </c>
      <c r="D34" s="18">
        <f t="shared" si="27"/>
        <v>309697.42499999999</v>
      </c>
      <c r="E34" s="18">
        <f t="shared" si="27"/>
        <v>309697.42499999999</v>
      </c>
      <c r="F34" s="18">
        <f t="shared" si="27"/>
        <v>309697.42499999999</v>
      </c>
      <c r="G34" s="18">
        <f t="shared" si="27"/>
        <v>309697.42499999999</v>
      </c>
      <c r="H34" s="18">
        <f t="shared" si="27"/>
        <v>309697.42499999999</v>
      </c>
      <c r="I34" s="18">
        <f t="shared" si="27"/>
        <v>309391.55099999998</v>
      </c>
      <c r="J34" s="18">
        <f t="shared" si="27"/>
        <v>309391.55099999998</v>
      </c>
      <c r="K34" s="18">
        <f t="shared" si="27"/>
        <v>305975.95799999998</v>
      </c>
      <c r="L34" s="18">
        <f t="shared" si="27"/>
        <v>305975.95799999998</v>
      </c>
      <c r="M34" s="18">
        <f t="shared" si="27"/>
        <v>305975.95799999998</v>
      </c>
      <c r="N34" s="18">
        <f>SUM(B34:M34)</f>
        <v>3704592.9510000004</v>
      </c>
      <c r="O34" s="24"/>
      <c r="P34" s="24"/>
      <c r="Q34" s="24"/>
      <c r="R34" s="24"/>
      <c r="S34" s="35" t="s">
        <v>12</v>
      </c>
      <c r="T34" s="18">
        <f t="shared" ref="T34:AE34" si="28">+T32*T33</f>
        <v>303325.05</v>
      </c>
      <c r="U34" s="18">
        <f t="shared" si="28"/>
        <v>303325.05</v>
      </c>
      <c r="V34" s="18">
        <f t="shared" si="28"/>
        <v>303325.05</v>
      </c>
      <c r="W34" s="18">
        <f t="shared" si="28"/>
        <v>303325.05</v>
      </c>
      <c r="X34" s="18">
        <f t="shared" si="28"/>
        <v>303325.05</v>
      </c>
      <c r="Y34" s="18">
        <f t="shared" si="28"/>
        <v>303325.05</v>
      </c>
      <c r="Z34" s="18">
        <f t="shared" si="28"/>
        <v>303325.05</v>
      </c>
      <c r="AA34" s="18">
        <f t="shared" si="28"/>
        <v>303325.05</v>
      </c>
      <c r="AB34" s="18">
        <f t="shared" si="28"/>
        <v>303325.05</v>
      </c>
      <c r="AC34" s="18">
        <f t="shared" si="28"/>
        <v>303325.05</v>
      </c>
      <c r="AD34" s="18">
        <f t="shared" si="28"/>
        <v>303325.05</v>
      </c>
      <c r="AE34" s="18">
        <f t="shared" si="28"/>
        <v>303325.05</v>
      </c>
      <c r="AF34" s="18">
        <f>SUM(T34:AE34)</f>
        <v>3639900.5999999992</v>
      </c>
      <c r="AG34" s="24"/>
      <c r="AH34" s="24"/>
      <c r="AI34" s="24"/>
      <c r="AJ34" s="24"/>
      <c r="AK34" s="35" t="s">
        <v>12</v>
      </c>
      <c r="AL34" s="18">
        <f t="shared" ref="AL34:AW34" si="29">+AL32*AL33</f>
        <v>303325.05</v>
      </c>
      <c r="AM34" s="18">
        <f t="shared" si="29"/>
        <v>303325.05</v>
      </c>
      <c r="AN34" s="18">
        <f t="shared" si="29"/>
        <v>303325.05</v>
      </c>
      <c r="AO34" s="18">
        <f t="shared" si="29"/>
        <v>303325.05</v>
      </c>
      <c r="AP34" s="18">
        <f t="shared" si="29"/>
        <v>303325.05</v>
      </c>
      <c r="AQ34" s="18">
        <f t="shared" si="29"/>
        <v>303325.05</v>
      </c>
      <c r="AR34" s="18">
        <f t="shared" si="29"/>
        <v>303325.05</v>
      </c>
      <c r="AS34" s="18">
        <f t="shared" si="29"/>
        <v>303325.05</v>
      </c>
      <c r="AT34" s="18">
        <f t="shared" si="29"/>
        <v>303325.05</v>
      </c>
      <c r="AU34" s="18">
        <f t="shared" si="29"/>
        <v>303325.05</v>
      </c>
      <c r="AV34" s="18">
        <f t="shared" si="29"/>
        <v>303325.05</v>
      </c>
      <c r="AW34" s="18">
        <f t="shared" si="29"/>
        <v>303325.05</v>
      </c>
      <c r="AX34" s="18">
        <f>SUM(AL34:AW34)</f>
        <v>3639900.5999999992</v>
      </c>
      <c r="AY34" s="24"/>
      <c r="AZ34" s="24"/>
      <c r="BA34" s="24"/>
      <c r="BB34" s="24"/>
    </row>
    <row r="35" spans="1:54">
      <c r="A35" s="3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24"/>
      <c r="P35" s="24"/>
      <c r="Q35" s="24"/>
      <c r="R35" s="24"/>
      <c r="S35" s="3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24"/>
      <c r="AH35" s="24"/>
      <c r="AI35" s="24"/>
      <c r="AJ35" s="24"/>
      <c r="AK35" s="3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24"/>
      <c r="AZ35" s="24"/>
      <c r="BA35" s="24"/>
      <c r="BB35" s="24"/>
    </row>
    <row r="36" spans="1:54">
      <c r="A36" s="350" t="s">
        <v>13</v>
      </c>
      <c r="B36" s="18">
        <f>SUM(B30,B34)</f>
        <v>473507.89500000002</v>
      </c>
      <c r="C36" s="18">
        <f t="shared" ref="C36:M36" si="30">SUM(C30,C34)</f>
        <v>473507.89500000002</v>
      </c>
      <c r="D36" s="18">
        <f t="shared" si="30"/>
        <v>473507.89500000002</v>
      </c>
      <c r="E36" s="18">
        <f t="shared" si="30"/>
        <v>473507.89500000002</v>
      </c>
      <c r="F36" s="18">
        <f t="shared" si="30"/>
        <v>473507.89500000002</v>
      </c>
      <c r="G36" s="18">
        <f t="shared" si="30"/>
        <v>473507.89500000002</v>
      </c>
      <c r="H36" s="18">
        <f t="shared" si="30"/>
        <v>473507.89500000002</v>
      </c>
      <c r="I36" s="18">
        <f t="shared" si="30"/>
        <v>473202.02099999995</v>
      </c>
      <c r="J36" s="18">
        <f t="shared" si="30"/>
        <v>473202.02099999995</v>
      </c>
      <c r="K36" s="18">
        <f t="shared" si="30"/>
        <v>469786.42799999996</v>
      </c>
      <c r="L36" s="18">
        <f t="shared" si="30"/>
        <v>592027.06140000001</v>
      </c>
      <c r="M36" s="18">
        <f t="shared" si="30"/>
        <v>592027.06140000001</v>
      </c>
      <c r="N36" s="287">
        <f>SUM(B36:M36)</f>
        <v>5914799.8578000003</v>
      </c>
      <c r="O36" s="39">
        <f>N36/12</f>
        <v>492899.98815000005</v>
      </c>
      <c r="P36" s="28">
        <v>50979</v>
      </c>
      <c r="Q36" s="197">
        <f>O36/P36</f>
        <v>9.6686868740069443</v>
      </c>
      <c r="R36" s="197">
        <f>(Q36*1.04)/(1-0.025)</f>
        <v>10.313265998940741</v>
      </c>
      <c r="S36" s="350" t="s">
        <v>13</v>
      </c>
      <c r="T36" s="18">
        <f>SUM(T30,T34)</f>
        <v>589798.05000000005</v>
      </c>
      <c r="U36" s="18">
        <f t="shared" ref="U36:AE36" si="31">SUM(U30,U34)</f>
        <v>589798.05000000005</v>
      </c>
      <c r="V36" s="18">
        <f t="shared" si="31"/>
        <v>589798.05000000005</v>
      </c>
      <c r="W36" s="18">
        <f t="shared" si="31"/>
        <v>589798.05000000005</v>
      </c>
      <c r="X36" s="18">
        <f t="shared" si="31"/>
        <v>589798.05000000005</v>
      </c>
      <c r="Y36" s="18">
        <f t="shared" si="31"/>
        <v>589798.05000000005</v>
      </c>
      <c r="Z36" s="18">
        <f t="shared" si="31"/>
        <v>589798.05000000005</v>
      </c>
      <c r="AA36" s="18">
        <f t="shared" si="31"/>
        <v>589798.05000000005</v>
      </c>
      <c r="AB36" s="18">
        <f t="shared" si="31"/>
        <v>589798.05000000005</v>
      </c>
      <c r="AC36" s="18">
        <f t="shared" si="31"/>
        <v>589798.05000000005</v>
      </c>
      <c r="AD36" s="18">
        <f t="shared" si="31"/>
        <v>589798.05000000005</v>
      </c>
      <c r="AE36" s="18">
        <f t="shared" si="31"/>
        <v>589798.05000000005</v>
      </c>
      <c r="AF36" s="287">
        <f>SUM(T36:AE36)</f>
        <v>7077576.5999999987</v>
      </c>
      <c r="AG36" s="39">
        <f>AF36/12</f>
        <v>589798.04999999993</v>
      </c>
      <c r="AH36" s="28">
        <v>50979</v>
      </c>
      <c r="AI36" s="17">
        <f>AG36/AH36</f>
        <v>11.569431530630258</v>
      </c>
      <c r="AJ36" s="197">
        <f>(AI36*1.04)/(1-0.025)</f>
        <v>12.34072696600561</v>
      </c>
      <c r="AK36" s="350" t="s">
        <v>13</v>
      </c>
      <c r="AL36" s="18">
        <f>SUM(AL30,AL34)</f>
        <v>589798.05000000005</v>
      </c>
      <c r="AM36" s="18">
        <f t="shared" ref="AM36:AW36" si="32">SUM(AM30,AM34)</f>
        <v>589798.05000000005</v>
      </c>
      <c r="AN36" s="18">
        <f t="shared" si="32"/>
        <v>589798.05000000005</v>
      </c>
      <c r="AO36" s="18">
        <f t="shared" si="32"/>
        <v>589798.05000000005</v>
      </c>
      <c r="AP36" s="18">
        <f t="shared" si="32"/>
        <v>589798.05000000005</v>
      </c>
      <c r="AQ36" s="18">
        <f t="shared" si="32"/>
        <v>589798.05000000005</v>
      </c>
      <c r="AR36" s="18">
        <f t="shared" si="32"/>
        <v>589798.05000000005</v>
      </c>
      <c r="AS36" s="18">
        <f t="shared" si="32"/>
        <v>589798.05000000005</v>
      </c>
      <c r="AT36" s="18">
        <f t="shared" si="32"/>
        <v>589798.05000000005</v>
      </c>
      <c r="AU36" s="18">
        <f t="shared" si="32"/>
        <v>589798.05000000005</v>
      </c>
      <c r="AV36" s="18">
        <f t="shared" si="32"/>
        <v>589798.05000000005</v>
      </c>
      <c r="AW36" s="18">
        <f t="shared" si="32"/>
        <v>589798.05000000005</v>
      </c>
      <c r="AX36" s="287">
        <f>SUM(AL36:AW36)</f>
        <v>7077576.5999999987</v>
      </c>
      <c r="AY36" s="39">
        <f>AX36/12</f>
        <v>589798.04999999993</v>
      </c>
      <c r="AZ36" s="28">
        <v>50979</v>
      </c>
      <c r="BA36" s="17">
        <f>AY36/AZ36</f>
        <v>11.569431530630258</v>
      </c>
      <c r="BB36" s="197">
        <f>(BA36*1.04)/(1-0.025)</f>
        <v>12.34072696600561</v>
      </c>
    </row>
    <row r="37" spans="1:54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24"/>
      <c r="P37" s="24"/>
      <c r="Q37" s="24"/>
      <c r="R37" s="24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24"/>
      <c r="AH37" s="24"/>
      <c r="AI37" s="24"/>
      <c r="AJ37" s="24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24"/>
      <c r="AZ37" s="24"/>
      <c r="BA37" s="24"/>
      <c r="BB37" s="24"/>
    </row>
    <row r="38" spans="1:54">
      <c r="A38" s="35" t="s">
        <v>14</v>
      </c>
      <c r="B38" s="28">
        <v>10032</v>
      </c>
      <c r="C38" s="28">
        <v>10032</v>
      </c>
      <c r="D38" s="28">
        <v>10032</v>
      </c>
      <c r="E38" s="28">
        <v>10032</v>
      </c>
      <c r="F38" s="28">
        <v>10032</v>
      </c>
      <c r="G38" s="28">
        <v>10032</v>
      </c>
      <c r="H38" s="28">
        <v>10032</v>
      </c>
      <c r="I38" s="28">
        <v>10032</v>
      </c>
      <c r="J38" s="28">
        <v>10032</v>
      </c>
      <c r="K38" s="28">
        <v>10032</v>
      </c>
      <c r="L38" s="28">
        <v>10032</v>
      </c>
      <c r="M38" s="28">
        <v>10032</v>
      </c>
      <c r="N38" s="24"/>
      <c r="O38" s="24"/>
      <c r="P38" s="24"/>
      <c r="Q38" s="24"/>
      <c r="R38" s="24"/>
      <c r="S38" s="35" t="s">
        <v>14</v>
      </c>
      <c r="T38" s="28">
        <v>10032</v>
      </c>
      <c r="U38" s="28">
        <v>10032</v>
      </c>
      <c r="V38" s="28">
        <v>10032</v>
      </c>
      <c r="W38" s="28">
        <v>10032</v>
      </c>
      <c r="X38" s="28">
        <v>10032</v>
      </c>
      <c r="Y38" s="28">
        <v>10032</v>
      </c>
      <c r="Z38" s="28">
        <v>10032</v>
      </c>
      <c r="AA38" s="28">
        <v>10032</v>
      </c>
      <c r="AB38" s="28">
        <v>10032</v>
      </c>
      <c r="AC38" s="28">
        <v>10032</v>
      </c>
      <c r="AD38" s="28">
        <v>10032</v>
      </c>
      <c r="AE38" s="28">
        <v>10032</v>
      </c>
      <c r="AF38" s="24"/>
      <c r="AG38" s="24"/>
      <c r="AH38" s="24"/>
      <c r="AI38" s="24"/>
      <c r="AJ38" s="24"/>
      <c r="AK38" s="35" t="s">
        <v>14</v>
      </c>
      <c r="AL38" s="28">
        <v>10032</v>
      </c>
      <c r="AM38" s="28">
        <v>10032</v>
      </c>
      <c r="AN38" s="28">
        <v>10032</v>
      </c>
      <c r="AO38" s="28">
        <v>10032</v>
      </c>
      <c r="AP38" s="28">
        <v>10032</v>
      </c>
      <c r="AQ38" s="28">
        <v>10032</v>
      </c>
      <c r="AR38" s="28">
        <v>10032</v>
      </c>
      <c r="AS38" s="28">
        <v>10032</v>
      </c>
      <c r="AT38" s="28">
        <v>10032</v>
      </c>
      <c r="AU38" s="28">
        <v>10032</v>
      </c>
      <c r="AV38" s="28">
        <v>10032</v>
      </c>
      <c r="AW38" s="28">
        <v>10032</v>
      </c>
      <c r="AX38" s="24"/>
      <c r="AY38" s="24"/>
      <c r="AZ38" s="24"/>
      <c r="BA38" s="24"/>
      <c r="BB38" s="24"/>
    </row>
    <row r="39" spans="1:54">
      <c r="A39" s="35" t="s">
        <v>15</v>
      </c>
      <c r="B39" s="21">
        <f t="shared" ref="B39:M39" si="33">+B40/B38</f>
        <v>11.869520715709728</v>
      </c>
      <c r="C39" s="21">
        <f t="shared" si="33"/>
        <v>11.869520715709728</v>
      </c>
      <c r="D39" s="21">
        <f t="shared" si="33"/>
        <v>11.486632436204147</v>
      </c>
      <c r="E39" s="21">
        <f t="shared" si="33"/>
        <v>11.869520715709728</v>
      </c>
      <c r="F39" s="21">
        <f t="shared" si="33"/>
        <v>11.486632436204147</v>
      </c>
      <c r="G39" s="21">
        <f t="shared" si="33"/>
        <v>11.869520715709731</v>
      </c>
      <c r="H39" s="21">
        <f t="shared" si="33"/>
        <v>11.869520715709731</v>
      </c>
      <c r="I39" s="21">
        <f t="shared" si="33"/>
        <v>10.7208718261563</v>
      </c>
      <c r="J39" s="21">
        <f t="shared" si="33"/>
        <v>11.869529687001595</v>
      </c>
      <c r="K39" s="21">
        <f t="shared" si="33"/>
        <v>11.567967105263158</v>
      </c>
      <c r="L39" s="21">
        <f t="shared" si="33"/>
        <v>11.953602890749602</v>
      </c>
      <c r="M39" s="21">
        <f t="shared" si="33"/>
        <v>11.568001993620415</v>
      </c>
      <c r="N39" s="24"/>
      <c r="O39" s="24"/>
      <c r="P39" s="24"/>
      <c r="Q39" s="24"/>
      <c r="R39" s="24"/>
      <c r="S39" s="35" t="s">
        <v>15</v>
      </c>
      <c r="T39" s="21">
        <f t="shared" ref="T39:AE39" si="34">+T40/T38</f>
        <v>13.799295255183413</v>
      </c>
      <c r="U39" s="21">
        <f t="shared" si="34"/>
        <v>13.799295255183413</v>
      </c>
      <c r="V39" s="21">
        <f t="shared" si="34"/>
        <v>13.799295255183413</v>
      </c>
      <c r="W39" s="21">
        <f t="shared" si="34"/>
        <v>13.799295255183413</v>
      </c>
      <c r="X39" s="21">
        <f t="shared" si="34"/>
        <v>13.799295255183413</v>
      </c>
      <c r="Y39" s="21">
        <f t="shared" si="34"/>
        <v>13.799295255183413</v>
      </c>
      <c r="Z39" s="21">
        <f t="shared" si="34"/>
        <v>13.799295255183413</v>
      </c>
      <c r="AA39" s="21">
        <f t="shared" si="34"/>
        <v>13.799295255183413</v>
      </c>
      <c r="AB39" s="21">
        <f t="shared" si="34"/>
        <v>13.799295255183413</v>
      </c>
      <c r="AC39" s="21">
        <f t="shared" si="34"/>
        <v>13.799295255183413</v>
      </c>
      <c r="AD39" s="21">
        <f t="shared" si="34"/>
        <v>13.799295255183413</v>
      </c>
      <c r="AE39" s="21">
        <f t="shared" si="34"/>
        <v>13.799295255183413</v>
      </c>
      <c r="AF39" s="24"/>
      <c r="AG39" s="24"/>
      <c r="AH39" s="24"/>
      <c r="AI39" s="24"/>
      <c r="AJ39" s="24"/>
      <c r="AK39" s="35" t="s">
        <v>15</v>
      </c>
      <c r="AL39" s="21">
        <f t="shared" ref="AL39:AW39" si="35">+AL40/AL38</f>
        <v>13.799295255183413</v>
      </c>
      <c r="AM39" s="21">
        <f t="shared" si="35"/>
        <v>13.799295255183413</v>
      </c>
      <c r="AN39" s="21">
        <f t="shared" si="35"/>
        <v>13.799295255183413</v>
      </c>
      <c r="AO39" s="21">
        <f t="shared" si="35"/>
        <v>13.799295255183413</v>
      </c>
      <c r="AP39" s="21">
        <f t="shared" si="35"/>
        <v>13.799295255183413</v>
      </c>
      <c r="AQ39" s="21">
        <f t="shared" si="35"/>
        <v>13.799295255183413</v>
      </c>
      <c r="AR39" s="21">
        <f t="shared" si="35"/>
        <v>13.799295255183413</v>
      </c>
      <c r="AS39" s="21">
        <f t="shared" si="35"/>
        <v>13.799295255183413</v>
      </c>
      <c r="AT39" s="21">
        <f t="shared" si="35"/>
        <v>13.799295255183413</v>
      </c>
      <c r="AU39" s="21">
        <f t="shared" si="35"/>
        <v>13.799295255183413</v>
      </c>
      <c r="AV39" s="21">
        <f t="shared" si="35"/>
        <v>13.799295255183413</v>
      </c>
      <c r="AW39" s="21">
        <f t="shared" si="35"/>
        <v>13.799295255183413</v>
      </c>
      <c r="AX39" s="24"/>
      <c r="AY39" s="24"/>
      <c r="AZ39" s="24"/>
      <c r="BA39" s="24"/>
      <c r="BB39" s="24"/>
    </row>
    <row r="40" spans="1:54">
      <c r="A40" s="35" t="s">
        <v>16</v>
      </c>
      <c r="B40" s="361">
        <v>119075.03181999999</v>
      </c>
      <c r="C40" s="361">
        <v>119075.03181999999</v>
      </c>
      <c r="D40" s="361">
        <v>115233.89659999999</v>
      </c>
      <c r="E40" s="361">
        <v>119075.03181999999</v>
      </c>
      <c r="F40" s="361">
        <v>115233.89660000001</v>
      </c>
      <c r="G40" s="361">
        <v>119075.03182000002</v>
      </c>
      <c r="H40" s="361">
        <v>119075.03182000002</v>
      </c>
      <c r="I40" s="361">
        <v>107551.78616</v>
      </c>
      <c r="J40" s="361">
        <v>119075.12182</v>
      </c>
      <c r="K40" s="453">
        <v>116049.84600000001</v>
      </c>
      <c r="L40" s="453">
        <v>119918.5442</v>
      </c>
      <c r="M40" s="453">
        <v>116050.196</v>
      </c>
      <c r="N40" s="18">
        <f>SUM(B40:M40)</f>
        <v>1404488.4464799999</v>
      </c>
      <c r="O40" s="24"/>
      <c r="P40" s="24"/>
      <c r="Q40" s="24"/>
      <c r="R40" s="24"/>
      <c r="S40" s="35" t="s">
        <v>16</v>
      </c>
      <c r="T40" s="26">
        <v>138434.53</v>
      </c>
      <c r="U40" s="26">
        <v>138434.53</v>
      </c>
      <c r="V40" s="26">
        <v>138434.53</v>
      </c>
      <c r="W40" s="26">
        <v>138434.53</v>
      </c>
      <c r="X40" s="26">
        <v>138434.53</v>
      </c>
      <c r="Y40" s="26">
        <v>138434.53</v>
      </c>
      <c r="Z40" s="26">
        <v>138434.53</v>
      </c>
      <c r="AA40" s="26">
        <v>138434.53</v>
      </c>
      <c r="AB40" s="26">
        <v>138434.53</v>
      </c>
      <c r="AC40" s="26">
        <v>138434.53</v>
      </c>
      <c r="AD40" s="26">
        <v>138434.53</v>
      </c>
      <c r="AE40" s="26">
        <v>138434.53</v>
      </c>
      <c r="AF40" s="18">
        <f>SUM(T40:AE40)</f>
        <v>1661214.36</v>
      </c>
      <c r="AG40" s="24"/>
      <c r="AH40" s="24"/>
      <c r="AI40" s="24"/>
      <c r="AJ40" s="24"/>
      <c r="AK40" s="35" t="s">
        <v>16</v>
      </c>
      <c r="AL40" s="26">
        <v>138434.53</v>
      </c>
      <c r="AM40" s="26">
        <v>138434.53</v>
      </c>
      <c r="AN40" s="26">
        <v>138434.53</v>
      </c>
      <c r="AO40" s="26">
        <v>138434.53</v>
      </c>
      <c r="AP40" s="26">
        <v>138434.53</v>
      </c>
      <c r="AQ40" s="26">
        <v>138434.53</v>
      </c>
      <c r="AR40" s="26">
        <v>138434.53</v>
      </c>
      <c r="AS40" s="26">
        <v>138434.53</v>
      </c>
      <c r="AT40" s="26">
        <v>138434.53</v>
      </c>
      <c r="AU40" s="26">
        <v>138434.53</v>
      </c>
      <c r="AV40" s="26">
        <v>138434.53</v>
      </c>
      <c r="AW40" s="26">
        <v>138434.53</v>
      </c>
      <c r="AX40" s="18">
        <f>SUM(AL40:AW40)</f>
        <v>1661214.36</v>
      </c>
      <c r="AY40" s="24"/>
      <c r="AZ40" s="24"/>
      <c r="BA40" s="24"/>
      <c r="BB40" s="24"/>
    </row>
    <row r="41" spans="1:54">
      <c r="A41" s="35" t="s">
        <v>948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66">
        <v>-4246.8</v>
      </c>
      <c r="M41" s="26"/>
      <c r="N41" s="18"/>
      <c r="O41" s="24"/>
      <c r="P41" s="24"/>
      <c r="Q41" s="24"/>
      <c r="R41" s="24"/>
      <c r="S41" s="35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18"/>
      <c r="AG41" s="24"/>
      <c r="AH41" s="24"/>
      <c r="AI41" s="24"/>
      <c r="AJ41" s="24"/>
      <c r="AK41" s="35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18"/>
      <c r="AY41" s="24"/>
      <c r="AZ41" s="24"/>
      <c r="BA41" s="24"/>
      <c r="BB41" s="24"/>
    </row>
    <row r="42" spans="1:54"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</row>
    <row r="43" spans="1:54">
      <c r="A43" s="35" t="s">
        <v>199</v>
      </c>
      <c r="B43" s="28">
        <v>10032</v>
      </c>
      <c r="C43" s="28">
        <v>10032</v>
      </c>
      <c r="D43" s="28">
        <v>10032</v>
      </c>
      <c r="E43" s="28">
        <v>10032</v>
      </c>
      <c r="F43" s="28">
        <v>10032</v>
      </c>
      <c r="G43" s="28">
        <v>10032</v>
      </c>
      <c r="H43" s="28">
        <v>10032</v>
      </c>
      <c r="I43" s="28">
        <v>10032</v>
      </c>
      <c r="J43" s="28">
        <v>10032</v>
      </c>
      <c r="K43" s="28">
        <v>10032</v>
      </c>
      <c r="L43" s="28">
        <v>10032</v>
      </c>
      <c r="M43" s="28">
        <v>10032</v>
      </c>
      <c r="N43" s="24"/>
      <c r="O43" s="24"/>
      <c r="P43" s="24"/>
      <c r="Q43" s="24"/>
      <c r="R43" s="24"/>
      <c r="S43" s="35" t="s">
        <v>199</v>
      </c>
      <c r="T43" s="28">
        <v>10032</v>
      </c>
      <c r="U43" s="28">
        <v>10032</v>
      </c>
      <c r="V43" s="28">
        <v>10032</v>
      </c>
      <c r="W43" s="28">
        <v>10032</v>
      </c>
      <c r="X43" s="28">
        <v>10032</v>
      </c>
      <c r="Y43" s="28">
        <v>10032</v>
      </c>
      <c r="Z43" s="28">
        <v>10032</v>
      </c>
      <c r="AA43" s="28">
        <v>10032</v>
      </c>
      <c r="AB43" s="28">
        <v>10032</v>
      </c>
      <c r="AC43" s="28">
        <v>10032</v>
      </c>
      <c r="AD43" s="28">
        <v>10032</v>
      </c>
      <c r="AE43" s="28">
        <v>10032</v>
      </c>
      <c r="AF43" s="24"/>
      <c r="AG43" s="24"/>
      <c r="AH43" s="24"/>
      <c r="AI43" s="24"/>
      <c r="AJ43" s="24"/>
      <c r="AK43" s="35" t="s">
        <v>199</v>
      </c>
      <c r="AL43" s="28">
        <v>10032</v>
      </c>
      <c r="AM43" s="28">
        <v>10032</v>
      </c>
      <c r="AN43" s="28">
        <v>10032</v>
      </c>
      <c r="AO43" s="28">
        <v>10032</v>
      </c>
      <c r="AP43" s="28">
        <v>10032</v>
      </c>
      <c r="AQ43" s="28">
        <v>10032</v>
      </c>
      <c r="AR43" s="28">
        <v>10032</v>
      </c>
      <c r="AS43" s="28">
        <v>10032</v>
      </c>
      <c r="AT43" s="28">
        <v>10032</v>
      </c>
      <c r="AU43" s="28">
        <v>10032</v>
      </c>
      <c r="AV43" s="28">
        <v>10032</v>
      </c>
      <c r="AW43" s="28">
        <v>10032</v>
      </c>
      <c r="AX43" s="24"/>
      <c r="AY43" s="24"/>
      <c r="AZ43" s="24"/>
      <c r="BA43" s="24"/>
      <c r="BB43" s="24"/>
    </row>
    <row r="44" spans="1:54">
      <c r="A44" s="35" t="s">
        <v>200</v>
      </c>
      <c r="B44" s="17">
        <f t="shared" ref="B44:M44" si="36">B45/B43</f>
        <v>1.4000199362041468</v>
      </c>
      <c r="C44" s="17">
        <f t="shared" si="36"/>
        <v>1.4000199362041468</v>
      </c>
      <c r="D44" s="17">
        <f t="shared" si="36"/>
        <v>1.4000199362041468</v>
      </c>
      <c r="E44" s="17">
        <f t="shared" si="36"/>
        <v>1.4000199362041468</v>
      </c>
      <c r="F44" s="17">
        <f t="shared" si="36"/>
        <v>1.4000199362041468</v>
      </c>
      <c r="G44" s="17">
        <f t="shared" si="36"/>
        <v>1.4000199362041468</v>
      </c>
      <c r="H44" s="17">
        <f t="shared" si="36"/>
        <v>1.4000199362041468</v>
      </c>
      <c r="I44" s="17">
        <f t="shared" si="36"/>
        <v>1.4000199362041468</v>
      </c>
      <c r="J44" s="17">
        <f t="shared" si="36"/>
        <v>1.4000199362041468</v>
      </c>
      <c r="K44" s="17">
        <f t="shared" si="36"/>
        <v>1.4000199362041468</v>
      </c>
      <c r="L44" s="17">
        <f t="shared" si="36"/>
        <v>1.4000199362041468</v>
      </c>
      <c r="M44" s="17">
        <f t="shared" si="36"/>
        <v>1.4000199362041468</v>
      </c>
      <c r="N44" s="24"/>
      <c r="O44" s="24"/>
      <c r="P44" s="24"/>
      <c r="Q44" s="24"/>
      <c r="R44" s="24"/>
      <c r="S44" s="35" t="s">
        <v>200</v>
      </c>
      <c r="T44" s="17">
        <f t="shared" ref="T44:AE44" si="37">T45/T43</f>
        <v>1.4000199362041468</v>
      </c>
      <c r="U44" s="17">
        <f t="shared" si="37"/>
        <v>1.4000199362041468</v>
      </c>
      <c r="V44" s="17">
        <f t="shared" si="37"/>
        <v>1.4000199362041468</v>
      </c>
      <c r="W44" s="17">
        <f t="shared" si="37"/>
        <v>1.4000199362041468</v>
      </c>
      <c r="X44" s="17">
        <f t="shared" si="37"/>
        <v>1.4000199362041468</v>
      </c>
      <c r="Y44" s="17">
        <f t="shared" si="37"/>
        <v>1.4000199362041468</v>
      </c>
      <c r="Z44" s="17">
        <f t="shared" si="37"/>
        <v>1.4000199362041468</v>
      </c>
      <c r="AA44" s="17">
        <f t="shared" si="37"/>
        <v>1.4000199362041468</v>
      </c>
      <c r="AB44" s="17">
        <f t="shared" si="37"/>
        <v>1.4000199362041468</v>
      </c>
      <c r="AC44" s="17">
        <f t="shared" si="37"/>
        <v>1.4000199362041468</v>
      </c>
      <c r="AD44" s="17">
        <f t="shared" si="37"/>
        <v>1.4000199362041468</v>
      </c>
      <c r="AE44" s="17">
        <f t="shared" si="37"/>
        <v>1.4000199362041468</v>
      </c>
      <c r="AF44" s="24"/>
      <c r="AG44" s="24"/>
      <c r="AH44" s="24"/>
      <c r="AI44" s="24"/>
      <c r="AJ44" s="24"/>
      <c r="AK44" s="35" t="s">
        <v>200</v>
      </c>
      <c r="AL44" s="17">
        <f t="shared" ref="AL44:AW44" si="38">AL45/AL43</f>
        <v>1.4000199362041468</v>
      </c>
      <c r="AM44" s="17">
        <f t="shared" si="38"/>
        <v>1.4000199362041468</v>
      </c>
      <c r="AN44" s="17">
        <f t="shared" si="38"/>
        <v>1.4000199362041468</v>
      </c>
      <c r="AO44" s="17">
        <f t="shared" si="38"/>
        <v>1.4000199362041468</v>
      </c>
      <c r="AP44" s="17">
        <f t="shared" si="38"/>
        <v>1.4000199362041468</v>
      </c>
      <c r="AQ44" s="17">
        <f t="shared" si="38"/>
        <v>1.4000199362041468</v>
      </c>
      <c r="AR44" s="17">
        <f t="shared" si="38"/>
        <v>1.4000199362041468</v>
      </c>
      <c r="AS44" s="17">
        <f t="shared" si="38"/>
        <v>1.4000199362041468</v>
      </c>
      <c r="AT44" s="17">
        <f t="shared" si="38"/>
        <v>1.4000199362041468</v>
      </c>
      <c r="AU44" s="17">
        <f t="shared" si="38"/>
        <v>1.4000199362041468</v>
      </c>
      <c r="AV44" s="17">
        <f t="shared" si="38"/>
        <v>1.4000199362041468</v>
      </c>
      <c r="AW44" s="17">
        <f t="shared" si="38"/>
        <v>1.4000199362041468</v>
      </c>
      <c r="AX44" s="24"/>
      <c r="AY44" s="24"/>
      <c r="AZ44" s="24"/>
      <c r="BA44" s="24"/>
      <c r="BB44" s="24"/>
    </row>
    <row r="45" spans="1:54">
      <c r="A45" s="35" t="s">
        <v>201</v>
      </c>
      <c r="B45" s="39">
        <v>14045</v>
      </c>
      <c r="C45" s="39">
        <v>14045</v>
      </c>
      <c r="D45" s="39">
        <v>14045</v>
      </c>
      <c r="E45" s="39">
        <v>14045</v>
      </c>
      <c r="F45" s="39">
        <v>14045</v>
      </c>
      <c r="G45" s="39">
        <v>14045</v>
      </c>
      <c r="H45" s="39">
        <v>14045</v>
      </c>
      <c r="I45" s="39">
        <v>14045</v>
      </c>
      <c r="J45" s="39">
        <v>14045</v>
      </c>
      <c r="K45" s="39">
        <v>14045</v>
      </c>
      <c r="L45" s="39">
        <v>14045</v>
      </c>
      <c r="M45" s="39">
        <v>14045</v>
      </c>
      <c r="N45" s="18">
        <f>SUM(B45:M45)</f>
        <v>168540</v>
      </c>
      <c r="O45" s="24"/>
      <c r="P45" s="24"/>
      <c r="Q45" s="24"/>
      <c r="R45" s="24"/>
      <c r="S45" s="35" t="s">
        <v>201</v>
      </c>
      <c r="T45" s="39">
        <v>14045</v>
      </c>
      <c r="U45" s="39">
        <v>14045</v>
      </c>
      <c r="V45" s="39">
        <v>14045</v>
      </c>
      <c r="W45" s="39">
        <v>14045</v>
      </c>
      <c r="X45" s="39">
        <v>14045</v>
      </c>
      <c r="Y45" s="39">
        <v>14045</v>
      </c>
      <c r="Z45" s="39">
        <v>14045</v>
      </c>
      <c r="AA45" s="39">
        <v>14045</v>
      </c>
      <c r="AB45" s="39">
        <v>14045</v>
      </c>
      <c r="AC45" s="39">
        <v>14045</v>
      </c>
      <c r="AD45" s="39">
        <v>14045</v>
      </c>
      <c r="AE45" s="39">
        <v>14045</v>
      </c>
      <c r="AF45" s="18">
        <f>SUM(T45:AE45)</f>
        <v>168540</v>
      </c>
      <c r="AG45" s="24"/>
      <c r="AH45" s="24"/>
      <c r="AI45" s="24"/>
      <c r="AJ45" s="24"/>
      <c r="AK45" s="35" t="s">
        <v>201</v>
      </c>
      <c r="AL45" s="39">
        <v>14045</v>
      </c>
      <c r="AM45" s="39">
        <v>14045</v>
      </c>
      <c r="AN45" s="39">
        <v>14045</v>
      </c>
      <c r="AO45" s="39">
        <v>14045</v>
      </c>
      <c r="AP45" s="39">
        <v>14045</v>
      </c>
      <c r="AQ45" s="39">
        <v>14045</v>
      </c>
      <c r="AR45" s="39">
        <v>14045</v>
      </c>
      <c r="AS45" s="39">
        <v>14045</v>
      </c>
      <c r="AT45" s="39">
        <v>14045</v>
      </c>
      <c r="AU45" s="39">
        <v>14045</v>
      </c>
      <c r="AV45" s="39">
        <v>14045</v>
      </c>
      <c r="AW45" s="39">
        <v>14045</v>
      </c>
      <c r="AX45" s="18">
        <f>SUM(AL45:AW45)</f>
        <v>168540</v>
      </c>
      <c r="AY45" s="24"/>
      <c r="AZ45" s="24"/>
      <c r="BA45" s="24"/>
      <c r="BB45" s="24"/>
    </row>
    <row r="46" spans="1:54"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</row>
    <row r="47" spans="1:54">
      <c r="A47" s="350" t="s">
        <v>20</v>
      </c>
      <c r="B47" s="26">
        <f>SUM(B40,B45)</f>
        <v>133120.03181999997</v>
      </c>
      <c r="C47" s="26">
        <f t="shared" ref="C47:M47" si="39">SUM(C40,C45)</f>
        <v>133120.03181999997</v>
      </c>
      <c r="D47" s="26">
        <f t="shared" si="39"/>
        <v>129278.89659999999</v>
      </c>
      <c r="E47" s="26">
        <f t="shared" si="39"/>
        <v>133120.03181999997</v>
      </c>
      <c r="F47" s="26">
        <f t="shared" si="39"/>
        <v>129278.89660000001</v>
      </c>
      <c r="G47" s="26">
        <f t="shared" si="39"/>
        <v>133120.03182000003</v>
      </c>
      <c r="H47" s="26">
        <f t="shared" si="39"/>
        <v>133120.03182000003</v>
      </c>
      <c r="I47" s="26">
        <f t="shared" si="39"/>
        <v>121596.78616</v>
      </c>
      <c r="J47" s="26">
        <f t="shared" si="39"/>
        <v>133120.12182</v>
      </c>
      <c r="K47" s="26">
        <f t="shared" si="39"/>
        <v>130094.84600000001</v>
      </c>
      <c r="L47" s="26">
        <f>SUM(L40,L45,L41)</f>
        <v>129716.7442</v>
      </c>
      <c r="M47" s="26">
        <f t="shared" si="39"/>
        <v>130095.196</v>
      </c>
      <c r="N47" s="18">
        <f>SUM(B47:M47)</f>
        <v>1568781.6464799999</v>
      </c>
      <c r="O47" s="39">
        <f>N47/12</f>
        <v>130731.80387333332</v>
      </c>
      <c r="P47" s="28">
        <f>9932</f>
        <v>9932</v>
      </c>
      <c r="Q47" s="197">
        <f>O47/P47</f>
        <v>13.162686656598201</v>
      </c>
      <c r="R47" s="197">
        <f>(Q47*1.04)/(1-0.025)</f>
        <v>14.040199100371415</v>
      </c>
      <c r="S47" s="350" t="s">
        <v>20</v>
      </c>
      <c r="T47" s="26">
        <f>SUM(T40,T45)</f>
        <v>152479.53</v>
      </c>
      <c r="U47" s="26">
        <f t="shared" ref="U47:AE47" si="40">SUM(U40,U45)</f>
        <v>152479.53</v>
      </c>
      <c r="V47" s="26">
        <f t="shared" si="40"/>
        <v>152479.53</v>
      </c>
      <c r="W47" s="26">
        <f t="shared" si="40"/>
        <v>152479.53</v>
      </c>
      <c r="X47" s="26">
        <f t="shared" si="40"/>
        <v>152479.53</v>
      </c>
      <c r="Y47" s="26">
        <f t="shared" si="40"/>
        <v>152479.53</v>
      </c>
      <c r="Z47" s="26">
        <f t="shared" si="40"/>
        <v>152479.53</v>
      </c>
      <c r="AA47" s="26">
        <f t="shared" si="40"/>
        <v>152479.53</v>
      </c>
      <c r="AB47" s="26">
        <f t="shared" si="40"/>
        <v>152479.53</v>
      </c>
      <c r="AC47" s="26">
        <f t="shared" si="40"/>
        <v>152479.53</v>
      </c>
      <c r="AD47" s="26">
        <f t="shared" si="40"/>
        <v>152479.53</v>
      </c>
      <c r="AE47" s="26">
        <f t="shared" si="40"/>
        <v>152479.53</v>
      </c>
      <c r="AF47" s="18">
        <f>SUM(T47:AE47)</f>
        <v>1829754.36</v>
      </c>
      <c r="AG47" s="39">
        <f>AF47/12</f>
        <v>152479.53</v>
      </c>
      <c r="AH47" s="28">
        <f>9932</f>
        <v>9932</v>
      </c>
      <c r="AI47" s="17">
        <f>AG47/AH47</f>
        <v>15.352348973016513</v>
      </c>
      <c r="AJ47" s="197">
        <f>(AI47*1.04)/(1-0.025)</f>
        <v>16.375838904550946</v>
      </c>
      <c r="AK47" s="350" t="s">
        <v>20</v>
      </c>
      <c r="AL47" s="26">
        <f>SUM(AL40,AL45)</f>
        <v>152479.53</v>
      </c>
      <c r="AM47" s="26">
        <f t="shared" ref="AM47:AW47" si="41">SUM(AM40,AM45)</f>
        <v>152479.53</v>
      </c>
      <c r="AN47" s="26">
        <f t="shared" si="41"/>
        <v>152479.53</v>
      </c>
      <c r="AO47" s="26">
        <f t="shared" si="41"/>
        <v>152479.53</v>
      </c>
      <c r="AP47" s="26">
        <f t="shared" si="41"/>
        <v>152479.53</v>
      </c>
      <c r="AQ47" s="26">
        <f t="shared" si="41"/>
        <v>152479.53</v>
      </c>
      <c r="AR47" s="26">
        <f t="shared" si="41"/>
        <v>152479.53</v>
      </c>
      <c r="AS47" s="26">
        <f t="shared" si="41"/>
        <v>152479.53</v>
      </c>
      <c r="AT47" s="26">
        <f t="shared" si="41"/>
        <v>152479.53</v>
      </c>
      <c r="AU47" s="26">
        <f t="shared" si="41"/>
        <v>152479.53</v>
      </c>
      <c r="AV47" s="26">
        <f t="shared" si="41"/>
        <v>152479.53</v>
      </c>
      <c r="AW47" s="26">
        <f t="shared" si="41"/>
        <v>152479.53</v>
      </c>
      <c r="AX47" s="18">
        <f>SUM(AL47:AW47)</f>
        <v>1829754.36</v>
      </c>
      <c r="AY47" s="39">
        <f>AX47/12</f>
        <v>152479.53</v>
      </c>
      <c r="AZ47" s="28">
        <f>9932</f>
        <v>9932</v>
      </c>
      <c r="BA47" s="17">
        <f>AY47/AZ47</f>
        <v>15.352348973016513</v>
      </c>
      <c r="BB47" s="197">
        <f>(BA47*1.04)/(1-0.025)</f>
        <v>16.375838904550946</v>
      </c>
    </row>
    <row r="48" spans="1:54"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</row>
    <row r="49" spans="1:54" ht="21" thickBot="1">
      <c r="A49" s="351" t="s">
        <v>394</v>
      </c>
      <c r="B49" s="40">
        <f>SUM(B26,B36,B47)</f>
        <v>1008977.9953290001</v>
      </c>
      <c r="C49" s="40">
        <f t="shared" ref="C49:M49" si="42">SUM(C26,C36,C47)</f>
        <v>1001625.0163400001</v>
      </c>
      <c r="D49" s="40">
        <f t="shared" si="42"/>
        <v>994075.41408299992</v>
      </c>
      <c r="E49" s="40">
        <f t="shared" si="42"/>
        <v>1056407.0089359998</v>
      </c>
      <c r="F49" s="40">
        <f t="shared" si="42"/>
        <v>1002109.155747</v>
      </c>
      <c r="G49" s="40">
        <f t="shared" si="42"/>
        <v>997092.67093800008</v>
      </c>
      <c r="H49" s="40">
        <f t="shared" si="42"/>
        <v>1006546.0774220001</v>
      </c>
      <c r="I49" s="40">
        <f t="shared" si="42"/>
        <v>982579.56433499989</v>
      </c>
      <c r="J49" s="40">
        <f t="shared" si="42"/>
        <v>997568.78591999994</v>
      </c>
      <c r="K49" s="40">
        <f t="shared" si="42"/>
        <v>991078.00156999996</v>
      </c>
      <c r="L49" s="40">
        <f t="shared" si="42"/>
        <v>1120888.4142120001</v>
      </c>
      <c r="M49" s="40">
        <f t="shared" si="42"/>
        <v>1119185.1231279999</v>
      </c>
      <c r="N49" s="352">
        <f>SUM(B49:M49)</f>
        <v>12278133.22796</v>
      </c>
      <c r="O49" s="39">
        <f>N49/12</f>
        <v>1023177.7689966667</v>
      </c>
      <c r="P49" s="28">
        <f>SUM(P26,P36,P47)</f>
        <v>100965</v>
      </c>
      <c r="Q49" s="197">
        <f>O49/P49</f>
        <v>10.133984737252183</v>
      </c>
      <c r="R49" s="197">
        <f>(Q49*1.04)/(1-0.025)</f>
        <v>10.809583719735661</v>
      </c>
      <c r="S49" s="351" t="s">
        <v>394</v>
      </c>
      <c r="T49" s="40">
        <f>SUM(T26,T36,T47)</f>
        <v>1159725.18</v>
      </c>
      <c r="U49" s="40">
        <f t="shared" ref="U49:AE49" si="43">SUM(U26,U36,U47)</f>
        <v>1159725.18</v>
      </c>
      <c r="V49" s="40">
        <f t="shared" si="43"/>
        <v>1159725.18</v>
      </c>
      <c r="W49" s="40">
        <f t="shared" si="43"/>
        <v>1159725.18</v>
      </c>
      <c r="X49" s="40">
        <f t="shared" si="43"/>
        <v>1159725.18</v>
      </c>
      <c r="Y49" s="40">
        <f t="shared" si="43"/>
        <v>1159725.18</v>
      </c>
      <c r="Z49" s="40">
        <f t="shared" si="43"/>
        <v>1159725.18</v>
      </c>
      <c r="AA49" s="40">
        <f t="shared" si="43"/>
        <v>1159725.18</v>
      </c>
      <c r="AB49" s="40">
        <f t="shared" si="43"/>
        <v>1159725.18</v>
      </c>
      <c r="AC49" s="40">
        <f t="shared" si="43"/>
        <v>1159725.18</v>
      </c>
      <c r="AD49" s="40">
        <f t="shared" si="43"/>
        <v>1159725.18</v>
      </c>
      <c r="AE49" s="40">
        <f t="shared" si="43"/>
        <v>1159725.18</v>
      </c>
      <c r="AF49" s="352">
        <f>SUM(T49:AE49)</f>
        <v>13916702.159999998</v>
      </c>
      <c r="AG49" s="39">
        <f>AF49/12</f>
        <v>1159725.18</v>
      </c>
      <c r="AH49" s="28">
        <f>SUM(AH26,AH36,AH47)</f>
        <v>100965</v>
      </c>
      <c r="AI49" s="17">
        <f>AG49/AH49</f>
        <v>11.486407963155548</v>
      </c>
      <c r="AJ49" s="197">
        <f>(AI49*1.04)/(1-0.025)</f>
        <v>12.252168494032585</v>
      </c>
      <c r="AK49" s="351" t="s">
        <v>394</v>
      </c>
      <c r="AL49" s="40">
        <f t="shared" ref="AL49:AW49" si="44">SUM(AL26,AL36,AL47)</f>
        <v>1159725.18</v>
      </c>
      <c r="AM49" s="40">
        <f t="shared" si="44"/>
        <v>1159725.18</v>
      </c>
      <c r="AN49" s="40">
        <f t="shared" si="44"/>
        <v>1159725.18</v>
      </c>
      <c r="AO49" s="40">
        <f t="shared" si="44"/>
        <v>1159725.18</v>
      </c>
      <c r="AP49" s="40">
        <f t="shared" si="44"/>
        <v>1159725.18</v>
      </c>
      <c r="AQ49" s="40">
        <f t="shared" si="44"/>
        <v>1159725.18</v>
      </c>
      <c r="AR49" s="40">
        <f t="shared" si="44"/>
        <v>1159725.18</v>
      </c>
      <c r="AS49" s="40">
        <f t="shared" si="44"/>
        <v>1159725.18</v>
      </c>
      <c r="AT49" s="40">
        <f t="shared" si="44"/>
        <v>1159725.18</v>
      </c>
      <c r="AU49" s="40">
        <f t="shared" si="44"/>
        <v>1159725.18</v>
      </c>
      <c r="AV49" s="40">
        <f t="shared" si="44"/>
        <v>1159725.18</v>
      </c>
      <c r="AW49" s="40">
        <f t="shared" si="44"/>
        <v>1159725.18</v>
      </c>
      <c r="AX49" s="352">
        <f>SUM(AL49:AW49)</f>
        <v>13916702.159999998</v>
      </c>
      <c r="AY49" s="39">
        <f>AX49/12</f>
        <v>1159725.18</v>
      </c>
      <c r="AZ49" s="28">
        <f>SUM(AZ26,AZ36,AZ47)</f>
        <v>100965</v>
      </c>
      <c r="BA49" s="17">
        <f>AY49/AZ49</f>
        <v>11.486407963155548</v>
      </c>
      <c r="BB49" s="197">
        <f>(BA49*1.04)/(1-0.025)</f>
        <v>12.252168494032585</v>
      </c>
    </row>
    <row r="50" spans="1:54" ht="21" thickTop="1">
      <c r="A50" s="353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24"/>
      <c r="P50" s="24" t="s">
        <v>358</v>
      </c>
      <c r="Q50" s="17">
        <f>Q49*12/365</f>
        <v>0.33317210095075667</v>
      </c>
      <c r="R50" s="17">
        <f>R49*12/365</f>
        <v>0.35538357434747375</v>
      </c>
      <c r="S50" s="353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24"/>
      <c r="AH50" s="24"/>
      <c r="AI50" s="24"/>
      <c r="AJ50" s="24"/>
      <c r="AK50" s="353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24"/>
      <c r="AZ50" s="24"/>
      <c r="BA50" s="24"/>
      <c r="BB50" s="24"/>
    </row>
    <row r="51" spans="1:54">
      <c r="B51" s="14">
        <v>40360</v>
      </c>
      <c r="C51" s="14">
        <v>40391</v>
      </c>
      <c r="D51" s="14">
        <v>40422</v>
      </c>
      <c r="E51" s="14">
        <v>40452</v>
      </c>
      <c r="F51" s="14">
        <v>40483</v>
      </c>
      <c r="G51" s="14">
        <v>40513</v>
      </c>
      <c r="H51" s="14">
        <v>40544</v>
      </c>
      <c r="I51" s="14">
        <v>40575</v>
      </c>
      <c r="J51" s="14">
        <v>40603</v>
      </c>
      <c r="K51" s="14">
        <v>40634</v>
      </c>
      <c r="L51" s="14">
        <v>40299</v>
      </c>
      <c r="M51" s="14">
        <v>40330</v>
      </c>
      <c r="N51" s="13" t="s">
        <v>758</v>
      </c>
      <c r="O51" s="24" t="s">
        <v>740</v>
      </c>
      <c r="P51" s="24" t="s">
        <v>359</v>
      </c>
      <c r="Q51" s="17">
        <f>Q50/0.7</f>
        <v>0.4759601442153667</v>
      </c>
      <c r="R51" s="17">
        <f>R50/0.7</f>
        <v>0.50769082049639114</v>
      </c>
      <c r="T51" s="14">
        <v>40360</v>
      </c>
      <c r="U51" s="14">
        <v>40391</v>
      </c>
      <c r="V51" s="14">
        <v>40422</v>
      </c>
      <c r="W51" s="14">
        <v>40452</v>
      </c>
      <c r="X51" s="14">
        <v>40483</v>
      </c>
      <c r="Y51" s="14">
        <v>40513</v>
      </c>
      <c r="Z51" s="14">
        <v>40544</v>
      </c>
      <c r="AA51" s="14">
        <v>40575</v>
      </c>
      <c r="AB51" s="14">
        <v>40603</v>
      </c>
      <c r="AC51" s="14">
        <v>40634</v>
      </c>
      <c r="AD51" s="14">
        <v>40664</v>
      </c>
      <c r="AE51" s="14">
        <v>40695</v>
      </c>
      <c r="AF51" s="13" t="s">
        <v>868</v>
      </c>
      <c r="AG51" s="24"/>
      <c r="AH51" s="24"/>
      <c r="AI51" s="24"/>
      <c r="AJ51" s="24"/>
      <c r="AL51" s="14">
        <v>40725</v>
      </c>
      <c r="AM51" s="14">
        <v>40756</v>
      </c>
      <c r="AN51" s="14">
        <v>40787</v>
      </c>
      <c r="AO51" s="14">
        <v>40817</v>
      </c>
      <c r="AP51" s="14">
        <v>40848</v>
      </c>
      <c r="AQ51" s="14">
        <v>40878</v>
      </c>
      <c r="AR51" s="14">
        <v>40909</v>
      </c>
      <c r="AS51" s="14">
        <v>40940</v>
      </c>
      <c r="AT51" s="14">
        <v>40969</v>
      </c>
      <c r="AU51" s="14">
        <v>41000</v>
      </c>
      <c r="AV51" s="14">
        <v>41030</v>
      </c>
      <c r="AW51" s="14">
        <v>41061</v>
      </c>
      <c r="AX51" s="13" t="s">
        <v>895</v>
      </c>
      <c r="AY51" s="24"/>
      <c r="AZ51" s="24"/>
      <c r="BA51" s="24"/>
      <c r="BB51" s="24"/>
    </row>
    <row r="52" spans="1:54">
      <c r="A52" s="349" t="s">
        <v>395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 t="s">
        <v>103</v>
      </c>
      <c r="P52" s="24" t="s">
        <v>360</v>
      </c>
      <c r="Q52" s="17">
        <f>Q50/0.5</f>
        <v>0.66634420190151333</v>
      </c>
      <c r="R52" s="17">
        <f>R50/0.5</f>
        <v>0.7107671486949475</v>
      </c>
      <c r="S52" s="349" t="s">
        <v>21</v>
      </c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349" t="s">
        <v>21</v>
      </c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</row>
    <row r="53" spans="1:54">
      <c r="A53" s="35" t="s">
        <v>176</v>
      </c>
      <c r="B53" s="28"/>
      <c r="C53" s="28"/>
      <c r="D53" s="28"/>
      <c r="E53" s="28"/>
      <c r="F53" s="28">
        <v>10946</v>
      </c>
      <c r="G53" s="28">
        <v>10946</v>
      </c>
      <c r="H53" s="28">
        <v>10946</v>
      </c>
      <c r="I53" s="28">
        <v>10946</v>
      </c>
      <c r="J53" s="28">
        <v>10946</v>
      </c>
      <c r="K53" s="28"/>
      <c r="L53" s="28"/>
      <c r="M53" s="28"/>
      <c r="N53" s="24"/>
      <c r="O53" s="24" t="s">
        <v>361</v>
      </c>
      <c r="P53" s="24" t="s">
        <v>362</v>
      </c>
      <c r="Q53" s="17">
        <f>Q50/0.4</f>
        <v>0.83293025237689167</v>
      </c>
      <c r="R53" s="17">
        <f>R50/0.4</f>
        <v>0.8884589358686843</v>
      </c>
      <c r="S53" s="35" t="s">
        <v>176</v>
      </c>
      <c r="T53" s="28"/>
      <c r="U53" s="28"/>
      <c r="V53" s="28"/>
      <c r="W53" s="28"/>
      <c r="X53" s="28">
        <v>10946</v>
      </c>
      <c r="Y53" s="28">
        <v>10946</v>
      </c>
      <c r="Z53" s="28">
        <v>10946</v>
      </c>
      <c r="AA53" s="28">
        <v>10946</v>
      </c>
      <c r="AB53" s="28">
        <v>10946</v>
      </c>
      <c r="AC53" s="28"/>
      <c r="AD53" s="28"/>
      <c r="AE53" s="28"/>
      <c r="AF53" s="24"/>
      <c r="AG53" s="24"/>
      <c r="AH53" s="24"/>
      <c r="AI53" s="24"/>
      <c r="AJ53" s="24"/>
      <c r="AK53" s="35" t="s">
        <v>176</v>
      </c>
      <c r="AL53" s="28"/>
      <c r="AM53" s="28"/>
      <c r="AN53" s="28"/>
      <c r="AO53" s="28"/>
      <c r="AP53" s="28">
        <v>10946</v>
      </c>
      <c r="AQ53" s="28">
        <v>10946</v>
      </c>
      <c r="AR53" s="28">
        <v>10946</v>
      </c>
      <c r="AS53" s="28">
        <v>10946</v>
      </c>
      <c r="AT53" s="28">
        <v>10946</v>
      </c>
      <c r="AU53" s="28"/>
      <c r="AV53" s="28"/>
      <c r="AW53" s="28"/>
      <c r="AX53" s="24"/>
      <c r="AY53" s="24"/>
      <c r="AZ53" s="24"/>
      <c r="BA53" s="24"/>
      <c r="BB53" s="24"/>
    </row>
    <row r="54" spans="1:54">
      <c r="A54" s="35" t="s">
        <v>177</v>
      </c>
      <c r="B54" s="21"/>
      <c r="C54" s="21"/>
      <c r="D54" s="21"/>
      <c r="E54" s="21"/>
      <c r="F54" s="403">
        <v>4.3075000000000001</v>
      </c>
      <c r="G54" s="403">
        <v>4.3075000000000001</v>
      </c>
      <c r="H54" s="403">
        <v>4.3075000000000001</v>
      </c>
      <c r="I54" s="403">
        <v>4.3075000000000001</v>
      </c>
      <c r="J54" s="403">
        <v>4.3075000000000001</v>
      </c>
      <c r="K54" s="21"/>
      <c r="L54" s="21"/>
      <c r="M54" s="21"/>
      <c r="N54" s="24"/>
      <c r="O54" s="24"/>
      <c r="P54" s="24"/>
      <c r="Q54" s="24"/>
      <c r="R54" s="24"/>
      <c r="S54" s="35" t="s">
        <v>177</v>
      </c>
      <c r="T54" s="21"/>
      <c r="U54" s="21"/>
      <c r="V54" s="21"/>
      <c r="W54" s="21"/>
      <c r="X54" s="21">
        <v>4.4000000000000004</v>
      </c>
      <c r="Y54" s="21">
        <v>4.4000000000000004</v>
      </c>
      <c r="Z54" s="21">
        <v>4.4000000000000004</v>
      </c>
      <c r="AA54" s="21">
        <v>4.4000000000000004</v>
      </c>
      <c r="AB54" s="21">
        <v>4.4000000000000004</v>
      </c>
      <c r="AC54" s="21"/>
      <c r="AD54" s="21"/>
      <c r="AE54" s="21"/>
      <c r="AF54" s="24"/>
      <c r="AG54" s="24"/>
      <c r="AH54" s="24"/>
      <c r="AI54" s="24"/>
      <c r="AJ54" s="24"/>
      <c r="AK54" s="35" t="s">
        <v>177</v>
      </c>
      <c r="AL54" s="21"/>
      <c r="AM54" s="21"/>
      <c r="AN54" s="21"/>
      <c r="AO54" s="21"/>
      <c r="AP54" s="21">
        <v>4.4000000000000004</v>
      </c>
      <c r="AQ54" s="21">
        <v>4.4000000000000004</v>
      </c>
      <c r="AR54" s="21">
        <v>4.4000000000000004</v>
      </c>
      <c r="AS54" s="21">
        <v>4.4000000000000004</v>
      </c>
      <c r="AT54" s="21">
        <v>4.4000000000000004</v>
      </c>
      <c r="AU54" s="21"/>
      <c r="AV54" s="21"/>
      <c r="AW54" s="21"/>
      <c r="AX54" s="24"/>
      <c r="AY54" s="24"/>
      <c r="AZ54" s="24"/>
      <c r="BA54" s="24"/>
      <c r="BB54" s="24"/>
    </row>
    <row r="55" spans="1:54">
      <c r="A55" s="35" t="s">
        <v>178</v>
      </c>
      <c r="B55" s="26"/>
      <c r="C55" s="26"/>
      <c r="D55" s="26"/>
      <c r="E55" s="26"/>
      <c r="F55" s="26">
        <f>+F53*F54</f>
        <v>47149.895000000004</v>
      </c>
      <c r="G55" s="26">
        <f>+G53*G54</f>
        <v>47149.895000000004</v>
      </c>
      <c r="H55" s="26">
        <f>+H53*H54</f>
        <v>47149.895000000004</v>
      </c>
      <c r="I55" s="26">
        <f>+I53*I54</f>
        <v>47149.895000000004</v>
      </c>
      <c r="J55" s="26">
        <f>+J53*J54</f>
        <v>47149.895000000004</v>
      </c>
      <c r="K55" s="26"/>
      <c r="L55" s="26"/>
      <c r="M55" s="26"/>
      <c r="N55" s="26">
        <f>SUM(B55:M55)</f>
        <v>235749.47500000003</v>
      </c>
      <c r="O55" s="24"/>
      <c r="P55" s="24"/>
      <c r="Q55" s="24"/>
      <c r="R55" s="24"/>
      <c r="S55" s="35" t="s">
        <v>178</v>
      </c>
      <c r="T55" s="26"/>
      <c r="U55" s="26"/>
      <c r="V55" s="26"/>
      <c r="W55" s="26"/>
      <c r="X55" s="26">
        <f>+X53*X54</f>
        <v>48162.400000000001</v>
      </c>
      <c r="Y55" s="26">
        <f>+Y53*Y54</f>
        <v>48162.400000000001</v>
      </c>
      <c r="Z55" s="26">
        <f>+Z53*Z54</f>
        <v>48162.400000000001</v>
      </c>
      <c r="AA55" s="26">
        <f>+AA53*AA54</f>
        <v>48162.400000000001</v>
      </c>
      <c r="AB55" s="26">
        <f>+AB53*AB54</f>
        <v>48162.400000000001</v>
      </c>
      <c r="AC55" s="26"/>
      <c r="AD55" s="26"/>
      <c r="AE55" s="26"/>
      <c r="AF55" s="26">
        <f>SUM(T55:AE55)</f>
        <v>240812</v>
      </c>
      <c r="AG55" s="24"/>
      <c r="AH55" s="24"/>
      <c r="AI55" s="24"/>
      <c r="AJ55" s="24"/>
      <c r="AK55" s="35" t="s">
        <v>178</v>
      </c>
      <c r="AL55" s="26"/>
      <c r="AM55" s="26"/>
      <c r="AN55" s="26"/>
      <c r="AO55" s="26"/>
      <c r="AP55" s="26">
        <f>+AP53*AP54</f>
        <v>48162.400000000001</v>
      </c>
      <c r="AQ55" s="26">
        <f>+AQ53*AQ54</f>
        <v>48162.400000000001</v>
      </c>
      <c r="AR55" s="26">
        <f>+AR53*AR54</f>
        <v>48162.400000000001</v>
      </c>
      <c r="AS55" s="26">
        <f>+AS53*AS54</f>
        <v>48162.400000000001</v>
      </c>
      <c r="AT55" s="26">
        <f>+AT53*AT54</f>
        <v>48162.400000000001</v>
      </c>
      <c r="AU55" s="26"/>
      <c r="AV55" s="26"/>
      <c r="AW55" s="26"/>
      <c r="AX55" s="26">
        <f>SUM(AL55:AW55)</f>
        <v>240812</v>
      </c>
      <c r="AY55" s="24"/>
      <c r="AZ55" s="24"/>
      <c r="BA55" s="24"/>
      <c r="BB55" s="24"/>
    </row>
    <row r="56" spans="1:54">
      <c r="A56" s="35"/>
      <c r="D56" s="24"/>
      <c r="E56" s="28"/>
      <c r="F56" s="28"/>
      <c r="G56" s="28"/>
      <c r="H56" s="28"/>
      <c r="I56" s="28"/>
      <c r="J56" s="28"/>
      <c r="K56" s="28"/>
      <c r="L56" s="28"/>
      <c r="M56" s="28"/>
      <c r="N56" s="24"/>
      <c r="O56" s="24"/>
      <c r="P56" s="24"/>
      <c r="Q56" s="24"/>
      <c r="R56" s="24"/>
      <c r="S56" s="35"/>
      <c r="T56" s="24"/>
      <c r="U56" s="24"/>
      <c r="V56" s="24"/>
      <c r="W56" s="28"/>
      <c r="X56" s="28"/>
      <c r="Y56" s="28"/>
      <c r="Z56" s="28"/>
      <c r="AA56" s="28"/>
      <c r="AB56" s="28"/>
      <c r="AC56" s="28"/>
      <c r="AD56" s="28"/>
      <c r="AE56" s="28"/>
      <c r="AF56" s="24"/>
      <c r="AG56" s="24"/>
      <c r="AH56" s="24"/>
      <c r="AI56" s="24"/>
      <c r="AJ56" s="24"/>
      <c r="AK56" s="35"/>
      <c r="AL56" s="24"/>
      <c r="AM56" s="24"/>
      <c r="AN56" s="24"/>
      <c r="AO56" s="28"/>
      <c r="AP56" s="28"/>
      <c r="AQ56" s="28"/>
      <c r="AR56" s="28"/>
      <c r="AS56" s="28"/>
      <c r="AT56" s="28"/>
      <c r="AU56" s="28"/>
      <c r="AV56" s="28"/>
      <c r="AW56" s="28"/>
      <c r="AX56" s="24"/>
      <c r="AY56" s="24"/>
      <c r="AZ56" s="24"/>
      <c r="BA56" s="24"/>
      <c r="BB56" s="24"/>
    </row>
    <row r="57" spans="1:54">
      <c r="A57" s="35" t="s">
        <v>179</v>
      </c>
      <c r="B57" s="28">
        <v>10000</v>
      </c>
      <c r="C57" s="28">
        <v>10000</v>
      </c>
      <c r="D57" s="28">
        <v>10000</v>
      </c>
      <c r="E57" s="28">
        <v>10000</v>
      </c>
      <c r="F57" s="28">
        <v>10000</v>
      </c>
      <c r="G57" s="28">
        <v>10000</v>
      </c>
      <c r="H57" s="28">
        <v>10000</v>
      </c>
      <c r="I57" s="28">
        <v>10000</v>
      </c>
      <c r="J57" s="28">
        <v>10000</v>
      </c>
      <c r="K57" s="28">
        <v>10000</v>
      </c>
      <c r="L57" s="28">
        <v>10000</v>
      </c>
      <c r="M57" s="28">
        <v>10000</v>
      </c>
      <c r="N57" s="24"/>
      <c r="O57" s="24"/>
      <c r="P57" s="24"/>
      <c r="Q57" s="24"/>
      <c r="R57" s="24"/>
      <c r="S57" s="35" t="s">
        <v>179</v>
      </c>
      <c r="T57" s="28">
        <v>10000</v>
      </c>
      <c r="U57" s="28">
        <v>10000</v>
      </c>
      <c r="V57" s="28">
        <v>10000</v>
      </c>
      <c r="W57" s="28">
        <v>10000</v>
      </c>
      <c r="X57" s="28">
        <v>10000</v>
      </c>
      <c r="Y57" s="28">
        <v>10000</v>
      </c>
      <c r="Z57" s="28">
        <v>10000</v>
      </c>
      <c r="AA57" s="28">
        <v>10000</v>
      </c>
      <c r="AB57" s="28">
        <v>10000</v>
      </c>
      <c r="AC57" s="28">
        <v>10000</v>
      </c>
      <c r="AD57" s="28">
        <v>10000</v>
      </c>
      <c r="AE57" s="28">
        <v>10000</v>
      </c>
      <c r="AF57" s="24"/>
      <c r="AG57" s="24"/>
      <c r="AH57" s="24"/>
      <c r="AI57" s="24"/>
      <c r="AJ57" s="24"/>
      <c r="AK57" s="35" t="s">
        <v>179</v>
      </c>
      <c r="AL57" s="28">
        <v>10000</v>
      </c>
      <c r="AM57" s="28">
        <v>10000</v>
      </c>
      <c r="AN57" s="28">
        <v>10000</v>
      </c>
      <c r="AO57" s="28">
        <v>10000</v>
      </c>
      <c r="AP57" s="28">
        <v>10000</v>
      </c>
      <c r="AQ57" s="28">
        <v>10000</v>
      </c>
      <c r="AR57" s="28">
        <v>10000</v>
      </c>
      <c r="AS57" s="28">
        <v>10000</v>
      </c>
      <c r="AT57" s="28">
        <v>10000</v>
      </c>
      <c r="AU57" s="28">
        <v>10000</v>
      </c>
      <c r="AV57" s="28">
        <v>10000</v>
      </c>
      <c r="AW57" s="28">
        <v>10000</v>
      </c>
      <c r="AX57" s="24"/>
      <c r="AY57" s="24"/>
      <c r="AZ57" s="24"/>
      <c r="BA57" s="24"/>
      <c r="BB57" s="24"/>
    </row>
    <row r="58" spans="1:54">
      <c r="A58" s="35" t="s">
        <v>180</v>
      </c>
      <c r="B58" s="189">
        <v>4.3460999999999999</v>
      </c>
      <c r="C58" s="189">
        <v>4.3460999999999999</v>
      </c>
      <c r="D58" s="189">
        <v>4.3460999999999999</v>
      </c>
      <c r="E58" s="189">
        <v>4.3460999999999999</v>
      </c>
      <c r="F58" s="403">
        <v>4.3075000000000001</v>
      </c>
      <c r="G58" s="403">
        <v>4.3075000000000001</v>
      </c>
      <c r="H58" s="403">
        <v>4.3075000000000001</v>
      </c>
      <c r="I58" s="403">
        <v>4.3075000000000001</v>
      </c>
      <c r="J58" s="403">
        <v>4.3075000000000001</v>
      </c>
      <c r="K58" s="403">
        <v>4.3075000000000001</v>
      </c>
      <c r="L58" s="403">
        <v>4.3075000000000001</v>
      </c>
      <c r="M58" s="403">
        <v>4.3075000000000001</v>
      </c>
      <c r="N58" s="24"/>
      <c r="O58" s="24"/>
      <c r="P58" s="24"/>
      <c r="Q58" s="24"/>
      <c r="R58" s="24"/>
      <c r="S58" s="35" t="s">
        <v>180</v>
      </c>
      <c r="T58" s="17">
        <v>4.4000000000000004</v>
      </c>
      <c r="U58" s="17">
        <v>4.4000000000000004</v>
      </c>
      <c r="V58" s="17">
        <v>4.4000000000000004</v>
      </c>
      <c r="W58" s="17">
        <v>4.4000000000000004</v>
      </c>
      <c r="X58" s="17">
        <v>4.4000000000000004</v>
      </c>
      <c r="Y58" s="17">
        <v>4.4000000000000004</v>
      </c>
      <c r="Z58" s="17">
        <v>4.4000000000000004</v>
      </c>
      <c r="AA58" s="17">
        <v>4.4000000000000004</v>
      </c>
      <c r="AB58" s="17">
        <v>4.4000000000000004</v>
      </c>
      <c r="AC58" s="17">
        <v>4.4000000000000004</v>
      </c>
      <c r="AD58" s="17">
        <v>4.4000000000000004</v>
      </c>
      <c r="AE58" s="17">
        <v>4.4000000000000004</v>
      </c>
      <c r="AF58" s="24"/>
      <c r="AG58" s="24"/>
      <c r="AH58" s="24"/>
      <c r="AI58" s="24"/>
      <c r="AJ58" s="24"/>
      <c r="AK58" s="35" t="s">
        <v>180</v>
      </c>
      <c r="AL58" s="17">
        <v>4.4000000000000004</v>
      </c>
      <c r="AM58" s="17">
        <v>4.4000000000000004</v>
      </c>
      <c r="AN58" s="17">
        <v>4.4000000000000004</v>
      </c>
      <c r="AO58" s="17">
        <v>4.4000000000000004</v>
      </c>
      <c r="AP58" s="17">
        <v>4.4000000000000004</v>
      </c>
      <c r="AQ58" s="17">
        <v>4.4000000000000004</v>
      </c>
      <c r="AR58" s="17">
        <v>4.4000000000000004</v>
      </c>
      <c r="AS58" s="17">
        <v>4.4000000000000004</v>
      </c>
      <c r="AT58" s="17">
        <v>4.4000000000000004</v>
      </c>
      <c r="AU58" s="17">
        <v>4.4000000000000004</v>
      </c>
      <c r="AV58" s="17">
        <v>4.4000000000000004</v>
      </c>
      <c r="AW58" s="17">
        <v>4.4000000000000004</v>
      </c>
      <c r="AX58" s="24"/>
      <c r="AY58" s="24"/>
      <c r="AZ58" s="24"/>
      <c r="BA58" s="24"/>
      <c r="BB58" s="24"/>
    </row>
    <row r="59" spans="1:54">
      <c r="A59" s="35" t="s">
        <v>181</v>
      </c>
      <c r="B59" s="39">
        <f t="shared" ref="B59:M59" si="45">B57*B58</f>
        <v>43461</v>
      </c>
      <c r="C59" s="39">
        <f t="shared" si="45"/>
        <v>43461</v>
      </c>
      <c r="D59" s="39">
        <f t="shared" si="45"/>
        <v>43461</v>
      </c>
      <c r="E59" s="39">
        <f t="shared" si="45"/>
        <v>43461</v>
      </c>
      <c r="F59" s="39">
        <f t="shared" si="45"/>
        <v>43075</v>
      </c>
      <c r="G59" s="39">
        <f t="shared" si="45"/>
        <v>43075</v>
      </c>
      <c r="H59" s="39">
        <f t="shared" si="45"/>
        <v>43075</v>
      </c>
      <c r="I59" s="39">
        <f t="shared" si="45"/>
        <v>43075</v>
      </c>
      <c r="J59" s="39">
        <f t="shared" si="45"/>
        <v>43075</v>
      </c>
      <c r="K59" s="39">
        <f t="shared" si="45"/>
        <v>43075</v>
      </c>
      <c r="L59" s="39">
        <f t="shared" si="45"/>
        <v>43075</v>
      </c>
      <c r="M59" s="39">
        <f t="shared" si="45"/>
        <v>43075</v>
      </c>
      <c r="N59" s="26">
        <f>SUM(B59:M59)</f>
        <v>518444</v>
      </c>
      <c r="O59" s="24"/>
      <c r="P59" s="24"/>
      <c r="Q59" s="24"/>
      <c r="R59" s="24"/>
      <c r="S59" s="35" t="s">
        <v>181</v>
      </c>
      <c r="T59" s="39">
        <f t="shared" ref="T59:AE59" si="46">T57*T58</f>
        <v>44000</v>
      </c>
      <c r="U59" s="39">
        <f t="shared" si="46"/>
        <v>44000</v>
      </c>
      <c r="V59" s="39">
        <f t="shared" si="46"/>
        <v>44000</v>
      </c>
      <c r="W59" s="39">
        <f t="shared" si="46"/>
        <v>44000</v>
      </c>
      <c r="X59" s="39">
        <f t="shared" si="46"/>
        <v>44000</v>
      </c>
      <c r="Y59" s="39">
        <f t="shared" si="46"/>
        <v>44000</v>
      </c>
      <c r="Z59" s="39">
        <f t="shared" si="46"/>
        <v>44000</v>
      </c>
      <c r="AA59" s="39">
        <f t="shared" si="46"/>
        <v>44000</v>
      </c>
      <c r="AB59" s="39">
        <f t="shared" si="46"/>
        <v>44000</v>
      </c>
      <c r="AC59" s="39">
        <f t="shared" si="46"/>
        <v>44000</v>
      </c>
      <c r="AD59" s="39">
        <f t="shared" si="46"/>
        <v>44000</v>
      </c>
      <c r="AE59" s="39">
        <f t="shared" si="46"/>
        <v>44000</v>
      </c>
      <c r="AF59" s="26">
        <f>SUM(T59:AE59)</f>
        <v>528000</v>
      </c>
      <c r="AG59" s="24"/>
      <c r="AH59" s="24"/>
      <c r="AI59" s="24"/>
      <c r="AJ59" s="24"/>
      <c r="AK59" s="35" t="s">
        <v>181</v>
      </c>
      <c r="AL59" s="39">
        <f t="shared" ref="AL59:AW59" si="47">AL57*AL58</f>
        <v>44000</v>
      </c>
      <c r="AM59" s="39">
        <f t="shared" si="47"/>
        <v>44000</v>
      </c>
      <c r="AN59" s="39">
        <f t="shared" si="47"/>
        <v>44000</v>
      </c>
      <c r="AO59" s="39">
        <f t="shared" si="47"/>
        <v>44000</v>
      </c>
      <c r="AP59" s="39">
        <f t="shared" si="47"/>
        <v>44000</v>
      </c>
      <c r="AQ59" s="39">
        <f t="shared" si="47"/>
        <v>44000</v>
      </c>
      <c r="AR59" s="39">
        <f t="shared" si="47"/>
        <v>44000</v>
      </c>
      <c r="AS59" s="39">
        <f t="shared" si="47"/>
        <v>44000</v>
      </c>
      <c r="AT59" s="39">
        <f t="shared" si="47"/>
        <v>44000</v>
      </c>
      <c r="AU59" s="39">
        <f t="shared" si="47"/>
        <v>44000</v>
      </c>
      <c r="AV59" s="39">
        <f t="shared" si="47"/>
        <v>44000</v>
      </c>
      <c r="AW59" s="39">
        <f t="shared" si="47"/>
        <v>44000</v>
      </c>
      <c r="AX59" s="26">
        <f>SUM(AL59:AW59)</f>
        <v>528000</v>
      </c>
      <c r="AY59" s="24"/>
      <c r="AZ59" s="24"/>
      <c r="BA59" s="24"/>
      <c r="BB59" s="24"/>
    </row>
    <row r="60" spans="1:54">
      <c r="A60" s="35"/>
      <c r="D60" s="24"/>
      <c r="E60" s="28"/>
      <c r="F60" s="28"/>
      <c r="G60" s="28"/>
      <c r="H60" s="28"/>
      <c r="I60" s="28"/>
      <c r="J60" s="28"/>
      <c r="K60" s="28"/>
      <c r="L60" s="28"/>
      <c r="M60" s="28"/>
      <c r="N60" s="24"/>
      <c r="O60" s="24"/>
      <c r="P60" s="24"/>
      <c r="Q60" s="24"/>
      <c r="R60" s="24"/>
      <c r="S60" s="35"/>
      <c r="T60" s="24"/>
      <c r="U60" s="24"/>
      <c r="V60" s="24"/>
      <c r="W60" s="28"/>
      <c r="X60" s="28"/>
      <c r="Y60" s="28"/>
      <c r="Z60" s="28"/>
      <c r="AA60" s="28"/>
      <c r="AB60" s="28"/>
      <c r="AC60" s="28"/>
      <c r="AD60" s="28"/>
      <c r="AE60" s="28"/>
      <c r="AF60" s="24"/>
      <c r="AG60" s="24"/>
      <c r="AH60" s="24"/>
      <c r="AI60" s="24"/>
      <c r="AJ60" s="24"/>
      <c r="AK60" s="35"/>
      <c r="AL60" s="24"/>
      <c r="AM60" s="24"/>
      <c r="AN60" s="24"/>
      <c r="AO60" s="28"/>
      <c r="AP60" s="28"/>
      <c r="AQ60" s="28"/>
      <c r="AR60" s="28"/>
      <c r="AS60" s="28"/>
      <c r="AT60" s="28"/>
      <c r="AU60" s="28"/>
      <c r="AV60" s="28"/>
      <c r="AW60" s="28"/>
      <c r="AX60" s="24"/>
      <c r="AY60" s="24"/>
      <c r="AZ60" s="24"/>
      <c r="BA60" s="24"/>
      <c r="BB60" s="24"/>
    </row>
    <row r="61" spans="1:54">
      <c r="A61" s="35" t="s">
        <v>186</v>
      </c>
      <c r="B61" s="28">
        <v>10000</v>
      </c>
      <c r="C61" s="28">
        <v>10000</v>
      </c>
      <c r="D61" s="28">
        <v>10000</v>
      </c>
      <c r="E61" s="28">
        <v>10000</v>
      </c>
      <c r="F61" s="28">
        <v>10000</v>
      </c>
      <c r="G61" s="28">
        <v>10000</v>
      </c>
      <c r="H61" s="28">
        <v>10000</v>
      </c>
      <c r="I61" s="28">
        <v>10000</v>
      </c>
      <c r="J61" s="28">
        <v>10000</v>
      </c>
      <c r="K61" s="28">
        <v>10000</v>
      </c>
      <c r="L61" s="28">
        <v>10000</v>
      </c>
      <c r="M61" s="28">
        <v>10000</v>
      </c>
      <c r="N61" s="24"/>
      <c r="O61" s="24"/>
      <c r="P61" s="24"/>
      <c r="Q61" s="24"/>
      <c r="R61" s="24"/>
      <c r="S61" s="35" t="s">
        <v>186</v>
      </c>
      <c r="T61" s="28">
        <v>10000</v>
      </c>
      <c r="U61" s="28">
        <v>10000</v>
      </c>
      <c r="V61" s="28">
        <v>10000</v>
      </c>
      <c r="W61" s="28">
        <v>10000</v>
      </c>
      <c r="X61" s="28">
        <v>10000</v>
      </c>
      <c r="Y61" s="28">
        <v>10000</v>
      </c>
      <c r="Z61" s="28">
        <v>10000</v>
      </c>
      <c r="AA61" s="28">
        <v>10000</v>
      </c>
      <c r="AB61" s="28">
        <v>10000</v>
      </c>
      <c r="AC61" s="28">
        <v>10000</v>
      </c>
      <c r="AD61" s="28">
        <v>10000</v>
      </c>
      <c r="AE61" s="28">
        <v>10000</v>
      </c>
      <c r="AF61" s="24"/>
      <c r="AG61" s="24"/>
      <c r="AH61" s="24"/>
      <c r="AI61" s="24"/>
      <c r="AJ61" s="24"/>
      <c r="AK61" s="35" t="s">
        <v>186</v>
      </c>
      <c r="AL61" s="28">
        <v>10000</v>
      </c>
      <c r="AM61" s="28">
        <v>10000</v>
      </c>
      <c r="AN61" s="28">
        <v>10000</v>
      </c>
      <c r="AO61" s="28">
        <v>10000</v>
      </c>
      <c r="AP61" s="28">
        <v>10000</v>
      </c>
      <c r="AQ61" s="28">
        <v>10000</v>
      </c>
      <c r="AR61" s="28">
        <v>10000</v>
      </c>
      <c r="AS61" s="28">
        <v>10000</v>
      </c>
      <c r="AT61" s="28">
        <v>10000</v>
      </c>
      <c r="AU61" s="28">
        <v>10000</v>
      </c>
      <c r="AV61" s="28">
        <v>10000</v>
      </c>
      <c r="AW61" s="28">
        <v>10000</v>
      </c>
      <c r="AX61" s="24"/>
      <c r="AY61" s="24"/>
      <c r="AZ61" s="24"/>
      <c r="BA61" s="24"/>
      <c r="BB61" s="24"/>
    </row>
    <row r="62" spans="1:54">
      <c r="A62" s="35" t="s">
        <v>187</v>
      </c>
      <c r="B62" s="401">
        <v>10.2211</v>
      </c>
      <c r="C62" s="401">
        <v>10.2211</v>
      </c>
      <c r="D62" s="401">
        <v>10.2211</v>
      </c>
      <c r="E62" s="401">
        <v>10.2211</v>
      </c>
      <c r="F62" s="401">
        <v>10.182499999999999</v>
      </c>
      <c r="G62" s="401">
        <v>10.182499999999999</v>
      </c>
      <c r="H62" s="401">
        <v>10.182499999999999</v>
      </c>
      <c r="I62" s="401">
        <v>10.182499999999999</v>
      </c>
      <c r="J62" s="401">
        <v>10.182499999999999</v>
      </c>
      <c r="K62" s="401">
        <v>10.182499999999999</v>
      </c>
      <c r="L62" s="401">
        <v>10.182499999999999</v>
      </c>
      <c r="M62" s="401">
        <v>10.182499999999999</v>
      </c>
      <c r="N62" s="24"/>
      <c r="O62" s="24"/>
      <c r="P62" s="24"/>
      <c r="Q62" s="24"/>
      <c r="R62" s="24"/>
      <c r="S62" s="35" t="s">
        <v>187</v>
      </c>
      <c r="T62" s="23">
        <v>10.4</v>
      </c>
      <c r="U62" s="23">
        <v>10.4</v>
      </c>
      <c r="V62" s="23">
        <v>10.4</v>
      </c>
      <c r="W62" s="23">
        <v>10.4</v>
      </c>
      <c r="X62" s="23">
        <v>10.4</v>
      </c>
      <c r="Y62" s="23">
        <v>10.4</v>
      </c>
      <c r="Z62" s="23">
        <v>10.4</v>
      </c>
      <c r="AA62" s="23">
        <v>10.4</v>
      </c>
      <c r="AB62" s="23">
        <v>10.4</v>
      </c>
      <c r="AC62" s="23">
        <v>10.4</v>
      </c>
      <c r="AD62" s="23">
        <v>10.4</v>
      </c>
      <c r="AE62" s="23">
        <v>10.4</v>
      </c>
      <c r="AF62" s="24"/>
      <c r="AG62" s="24"/>
      <c r="AH62" s="24"/>
      <c r="AI62" s="24"/>
      <c r="AJ62" s="24"/>
      <c r="AK62" s="35" t="s">
        <v>187</v>
      </c>
      <c r="AL62" s="23">
        <v>10.4</v>
      </c>
      <c r="AM62" s="23">
        <v>10.4</v>
      </c>
      <c r="AN62" s="23">
        <v>10.4</v>
      </c>
      <c r="AO62" s="23">
        <v>10.4</v>
      </c>
      <c r="AP62" s="23">
        <v>10.4</v>
      </c>
      <c r="AQ62" s="23">
        <v>10.4</v>
      </c>
      <c r="AR62" s="23">
        <v>10.4</v>
      </c>
      <c r="AS62" s="23">
        <v>10.4</v>
      </c>
      <c r="AT62" s="23">
        <v>10.4</v>
      </c>
      <c r="AU62" s="23">
        <v>10.4</v>
      </c>
      <c r="AV62" s="23">
        <v>10.4</v>
      </c>
      <c r="AW62" s="23">
        <v>10.4</v>
      </c>
      <c r="AX62" s="24"/>
      <c r="AY62" s="24"/>
      <c r="AZ62" s="24"/>
      <c r="BA62" s="24"/>
      <c r="BB62" s="24"/>
    </row>
    <row r="63" spans="1:54">
      <c r="A63" s="35" t="s">
        <v>188</v>
      </c>
      <c r="B63" s="39">
        <f t="shared" ref="B63:M63" si="48">B61*B62</f>
        <v>102211</v>
      </c>
      <c r="C63" s="39">
        <f t="shared" si="48"/>
        <v>102211</v>
      </c>
      <c r="D63" s="39">
        <f t="shared" si="48"/>
        <v>102211</v>
      </c>
      <c r="E63" s="39">
        <f t="shared" si="48"/>
        <v>102211</v>
      </c>
      <c r="F63" s="39">
        <f t="shared" si="48"/>
        <v>101824.99999999999</v>
      </c>
      <c r="G63" s="39">
        <f t="shared" si="48"/>
        <v>101824.99999999999</v>
      </c>
      <c r="H63" s="39">
        <f t="shared" si="48"/>
        <v>101824.99999999999</v>
      </c>
      <c r="I63" s="39">
        <f t="shared" si="48"/>
        <v>101824.99999999999</v>
      </c>
      <c r="J63" s="39">
        <f t="shared" si="48"/>
        <v>101824.99999999999</v>
      </c>
      <c r="K63" s="39">
        <f t="shared" si="48"/>
        <v>101824.99999999999</v>
      </c>
      <c r="L63" s="39">
        <f t="shared" si="48"/>
        <v>101824.99999999999</v>
      </c>
      <c r="M63" s="39">
        <f t="shared" si="48"/>
        <v>101824.99999999999</v>
      </c>
      <c r="N63" s="26">
        <f>SUM(B63:M63)</f>
        <v>1223444</v>
      </c>
      <c r="O63" s="24"/>
      <c r="P63" s="24"/>
      <c r="Q63" s="24"/>
      <c r="R63" s="24"/>
      <c r="S63" s="35" t="s">
        <v>188</v>
      </c>
      <c r="T63" s="39">
        <f t="shared" ref="T63:AE63" si="49">T61*T62</f>
        <v>104000</v>
      </c>
      <c r="U63" s="39">
        <f t="shared" si="49"/>
        <v>104000</v>
      </c>
      <c r="V63" s="39">
        <f t="shared" si="49"/>
        <v>104000</v>
      </c>
      <c r="W63" s="39">
        <f t="shared" si="49"/>
        <v>104000</v>
      </c>
      <c r="X63" s="39">
        <f t="shared" si="49"/>
        <v>104000</v>
      </c>
      <c r="Y63" s="39">
        <f t="shared" si="49"/>
        <v>104000</v>
      </c>
      <c r="Z63" s="39">
        <f t="shared" si="49"/>
        <v>104000</v>
      </c>
      <c r="AA63" s="39">
        <f t="shared" si="49"/>
        <v>104000</v>
      </c>
      <c r="AB63" s="39">
        <f t="shared" si="49"/>
        <v>104000</v>
      </c>
      <c r="AC63" s="39">
        <f t="shared" si="49"/>
        <v>104000</v>
      </c>
      <c r="AD63" s="39">
        <f t="shared" si="49"/>
        <v>104000</v>
      </c>
      <c r="AE63" s="39">
        <f t="shared" si="49"/>
        <v>104000</v>
      </c>
      <c r="AF63" s="26">
        <f>SUM(T63:AE63)</f>
        <v>1248000</v>
      </c>
      <c r="AG63" s="24"/>
      <c r="AH63" s="24"/>
      <c r="AI63" s="24"/>
      <c r="AJ63" s="24"/>
      <c r="AK63" s="35" t="s">
        <v>188</v>
      </c>
      <c r="AL63" s="39">
        <f t="shared" ref="AL63:AW63" si="50">AL61*AL62</f>
        <v>104000</v>
      </c>
      <c r="AM63" s="39">
        <f t="shared" si="50"/>
        <v>104000</v>
      </c>
      <c r="AN63" s="39">
        <f t="shared" si="50"/>
        <v>104000</v>
      </c>
      <c r="AO63" s="39">
        <f t="shared" si="50"/>
        <v>104000</v>
      </c>
      <c r="AP63" s="39">
        <f t="shared" si="50"/>
        <v>104000</v>
      </c>
      <c r="AQ63" s="39">
        <f t="shared" si="50"/>
        <v>104000</v>
      </c>
      <c r="AR63" s="39">
        <f t="shared" si="50"/>
        <v>104000</v>
      </c>
      <c r="AS63" s="39">
        <f t="shared" si="50"/>
        <v>104000</v>
      </c>
      <c r="AT63" s="39">
        <f t="shared" si="50"/>
        <v>104000</v>
      </c>
      <c r="AU63" s="39">
        <f t="shared" si="50"/>
        <v>104000</v>
      </c>
      <c r="AV63" s="39">
        <f t="shared" si="50"/>
        <v>104000</v>
      </c>
      <c r="AW63" s="39">
        <f t="shared" si="50"/>
        <v>104000</v>
      </c>
      <c r="AX63" s="26">
        <f>SUM(AL63:AW63)</f>
        <v>1248000</v>
      </c>
      <c r="AY63" s="24"/>
      <c r="AZ63" s="24"/>
      <c r="BA63" s="24"/>
      <c r="BB63" s="24"/>
    </row>
    <row r="64" spans="1:54">
      <c r="A64" s="35"/>
      <c r="D64" s="24"/>
      <c r="E64" s="28"/>
      <c r="F64" s="28"/>
      <c r="G64" s="28"/>
      <c r="H64" s="28"/>
      <c r="I64" s="28"/>
      <c r="J64" s="28"/>
      <c r="K64" s="28"/>
      <c r="L64" s="28"/>
      <c r="M64" s="28"/>
      <c r="N64" s="24"/>
      <c r="O64" s="24"/>
      <c r="P64" s="24"/>
      <c r="Q64" s="24"/>
      <c r="R64" s="24"/>
      <c r="S64" s="35"/>
      <c r="T64" s="24"/>
      <c r="U64" s="24"/>
      <c r="V64" s="24"/>
      <c r="W64" s="28"/>
      <c r="X64" s="28"/>
      <c r="Y64" s="28"/>
      <c r="Z64" s="28"/>
      <c r="AA64" s="28"/>
      <c r="AB64" s="28"/>
      <c r="AC64" s="28"/>
      <c r="AD64" s="28"/>
      <c r="AE64" s="28"/>
      <c r="AF64" s="24"/>
      <c r="AG64" s="24"/>
      <c r="AH64" s="24"/>
      <c r="AI64" s="24"/>
      <c r="AJ64" s="24"/>
      <c r="AK64" s="35"/>
      <c r="AL64" s="24"/>
      <c r="AM64" s="24"/>
      <c r="AN64" s="24"/>
      <c r="AO64" s="28"/>
      <c r="AP64" s="28"/>
      <c r="AQ64" s="28"/>
      <c r="AR64" s="28"/>
      <c r="AS64" s="28"/>
      <c r="AT64" s="28"/>
      <c r="AU64" s="28"/>
      <c r="AV64" s="28"/>
      <c r="AW64" s="28"/>
      <c r="AX64" s="24"/>
      <c r="AY64" s="24"/>
      <c r="AZ64" s="24"/>
      <c r="BA64" s="24"/>
      <c r="BB64" s="24"/>
    </row>
    <row r="65" spans="1:54">
      <c r="A65" s="35" t="s">
        <v>22</v>
      </c>
      <c r="B65" s="28">
        <f>46913/2</f>
        <v>23456.5</v>
      </c>
      <c r="C65" s="28">
        <f>46913/2</f>
        <v>23456.5</v>
      </c>
      <c r="D65" s="28">
        <f>46913/2</f>
        <v>23456.5</v>
      </c>
      <c r="E65" s="28">
        <v>46913</v>
      </c>
      <c r="F65" s="28">
        <v>46913</v>
      </c>
      <c r="G65" s="28">
        <v>46913</v>
      </c>
      <c r="H65" s="28">
        <v>46913</v>
      </c>
      <c r="I65" s="28">
        <v>46913</v>
      </c>
      <c r="J65" s="28">
        <v>46913</v>
      </c>
      <c r="K65" s="28">
        <f>46913/2</f>
        <v>23456.5</v>
      </c>
      <c r="L65" s="28">
        <f>46913/2</f>
        <v>23456.5</v>
      </c>
      <c r="M65" s="28">
        <f>46913/2</f>
        <v>23456.5</v>
      </c>
      <c r="N65" s="24"/>
      <c r="O65" s="24"/>
      <c r="P65" s="24"/>
      <c r="Q65" s="24"/>
      <c r="R65" s="24"/>
      <c r="S65" s="35" t="s">
        <v>22</v>
      </c>
      <c r="T65" s="28">
        <f>46913/2</f>
        <v>23456.5</v>
      </c>
      <c r="U65" s="28">
        <f>46913/2</f>
        <v>23456.5</v>
      </c>
      <c r="V65" s="28">
        <f>46913/2</f>
        <v>23456.5</v>
      </c>
      <c r="W65" s="28">
        <v>46913</v>
      </c>
      <c r="X65" s="28">
        <v>46913</v>
      </c>
      <c r="Y65" s="28">
        <v>46913</v>
      </c>
      <c r="Z65" s="28">
        <v>46913</v>
      </c>
      <c r="AA65" s="28">
        <v>46913</v>
      </c>
      <c r="AB65" s="28">
        <v>46913</v>
      </c>
      <c r="AC65" s="28">
        <f>46913/2</f>
        <v>23456.5</v>
      </c>
      <c r="AD65" s="28">
        <f>46913/2</f>
        <v>23456.5</v>
      </c>
      <c r="AE65" s="28">
        <f>46913/2</f>
        <v>23456.5</v>
      </c>
      <c r="AF65" s="24"/>
      <c r="AG65" s="24"/>
      <c r="AH65" s="24"/>
      <c r="AI65" s="24"/>
      <c r="AJ65" s="24"/>
      <c r="AK65" s="35" t="s">
        <v>22</v>
      </c>
      <c r="AL65" s="28">
        <f>46913/2</f>
        <v>23456.5</v>
      </c>
      <c r="AM65" s="28">
        <f>46913/2</f>
        <v>23456.5</v>
      </c>
      <c r="AN65" s="28">
        <f>46913/2</f>
        <v>23456.5</v>
      </c>
      <c r="AO65" s="28">
        <v>46913</v>
      </c>
      <c r="AP65" s="28">
        <v>46913</v>
      </c>
      <c r="AQ65" s="28">
        <v>46913</v>
      </c>
      <c r="AR65" s="28">
        <v>46913</v>
      </c>
      <c r="AS65" s="28">
        <v>46913</v>
      </c>
      <c r="AT65" s="28">
        <v>46913</v>
      </c>
      <c r="AU65" s="28">
        <f>46913/2</f>
        <v>23456.5</v>
      </c>
      <c r="AV65" s="28">
        <f>46913/2</f>
        <v>23456.5</v>
      </c>
      <c r="AW65" s="28">
        <f>46913/2</f>
        <v>23456.5</v>
      </c>
      <c r="AX65" s="24"/>
      <c r="AY65" s="24"/>
      <c r="AZ65" s="24"/>
      <c r="BA65" s="24"/>
      <c r="BB65" s="24"/>
    </row>
    <row r="66" spans="1:54">
      <c r="A66" s="35" t="s">
        <v>23</v>
      </c>
      <c r="B66" s="403">
        <v>5.9050000000000002</v>
      </c>
      <c r="C66" s="403">
        <v>5.9050000000000002</v>
      </c>
      <c r="D66" s="403">
        <v>5.9050000000000002</v>
      </c>
      <c r="E66" s="403">
        <v>5.9050000000000002</v>
      </c>
      <c r="F66" s="403">
        <v>5.9050000000000002</v>
      </c>
      <c r="G66" s="403">
        <v>5.9050000000000002</v>
      </c>
      <c r="H66" s="403">
        <v>5.9050000000000002</v>
      </c>
      <c r="I66" s="403">
        <v>5.899</v>
      </c>
      <c r="J66" s="403">
        <v>5.899</v>
      </c>
      <c r="K66" s="460">
        <v>5.8319999999999999</v>
      </c>
      <c r="L66" s="460">
        <v>5.8319999999999999</v>
      </c>
      <c r="M66" s="460">
        <v>5.8319999999999999</v>
      </c>
      <c r="N66" s="24"/>
      <c r="O66" s="24"/>
      <c r="P66" s="24"/>
      <c r="Q66" s="24"/>
      <c r="R66" s="24"/>
      <c r="S66" s="35" t="s">
        <v>23</v>
      </c>
      <c r="T66" s="21">
        <v>5.8</v>
      </c>
      <c r="U66" s="21">
        <v>5.8</v>
      </c>
      <c r="V66" s="21">
        <v>5.8</v>
      </c>
      <c r="W66" s="21">
        <v>5.8</v>
      </c>
      <c r="X66" s="21">
        <v>5.8</v>
      </c>
      <c r="Y66" s="21">
        <v>5.8</v>
      </c>
      <c r="Z66" s="21">
        <v>5.8</v>
      </c>
      <c r="AA66" s="21">
        <v>5.8</v>
      </c>
      <c r="AB66" s="21">
        <v>5.8</v>
      </c>
      <c r="AC66" s="21">
        <v>5.8</v>
      </c>
      <c r="AD66" s="21">
        <v>5.8</v>
      </c>
      <c r="AE66" s="21">
        <v>5.8</v>
      </c>
      <c r="AF66" s="24"/>
      <c r="AG66" s="24"/>
      <c r="AH66" s="24"/>
      <c r="AI66" s="24"/>
      <c r="AJ66" s="24"/>
      <c r="AK66" s="35" t="s">
        <v>23</v>
      </c>
      <c r="AL66" s="21">
        <v>5.8</v>
      </c>
      <c r="AM66" s="21">
        <v>5.8</v>
      </c>
      <c r="AN66" s="21">
        <v>5.8</v>
      </c>
      <c r="AO66" s="21">
        <v>5.8</v>
      </c>
      <c r="AP66" s="21">
        <v>5.8</v>
      </c>
      <c r="AQ66" s="21">
        <v>5.8</v>
      </c>
      <c r="AR66" s="21">
        <v>5.8</v>
      </c>
      <c r="AS66" s="21">
        <v>5.8</v>
      </c>
      <c r="AT66" s="21">
        <v>5.8</v>
      </c>
      <c r="AU66" s="21">
        <v>5.8</v>
      </c>
      <c r="AV66" s="21">
        <v>5.8</v>
      </c>
      <c r="AW66" s="21">
        <v>5.8</v>
      </c>
      <c r="AX66" s="24"/>
      <c r="AY66" s="24"/>
      <c r="AZ66" s="24"/>
      <c r="BA66" s="24"/>
      <c r="BB66" s="24"/>
    </row>
    <row r="67" spans="1:54">
      <c r="A67" s="35" t="s">
        <v>24</v>
      </c>
      <c r="B67" s="26">
        <f t="shared" ref="B67:M67" si="51">+B65*B66</f>
        <v>138510.63250000001</v>
      </c>
      <c r="C67" s="26">
        <f t="shared" si="51"/>
        <v>138510.63250000001</v>
      </c>
      <c r="D67" s="26">
        <f t="shared" si="51"/>
        <v>138510.63250000001</v>
      </c>
      <c r="E67" s="26">
        <f t="shared" si="51"/>
        <v>277021.26500000001</v>
      </c>
      <c r="F67" s="26">
        <f t="shared" si="51"/>
        <v>277021.26500000001</v>
      </c>
      <c r="G67" s="26">
        <f t="shared" si="51"/>
        <v>277021.26500000001</v>
      </c>
      <c r="H67" s="26">
        <f t="shared" si="51"/>
        <v>277021.26500000001</v>
      </c>
      <c r="I67" s="26">
        <f t="shared" si="51"/>
        <v>276739.78700000001</v>
      </c>
      <c r="J67" s="26">
        <f t="shared" si="51"/>
        <v>276739.78700000001</v>
      </c>
      <c r="K67" s="26">
        <f t="shared" si="51"/>
        <v>136798.30799999999</v>
      </c>
      <c r="L67" s="26">
        <f t="shared" si="51"/>
        <v>136798.30799999999</v>
      </c>
      <c r="M67" s="26">
        <f t="shared" si="51"/>
        <v>136798.30799999999</v>
      </c>
      <c r="N67" s="26">
        <f>SUM(B67:M67)</f>
        <v>2487491.4555000006</v>
      </c>
      <c r="O67" s="24"/>
      <c r="P67" s="24"/>
      <c r="Q67" s="24"/>
      <c r="R67" s="24"/>
      <c r="S67" s="35" t="s">
        <v>24</v>
      </c>
      <c r="T67" s="26">
        <f t="shared" ref="T67:AE67" si="52">+T65*T66</f>
        <v>136047.69999999998</v>
      </c>
      <c r="U67" s="26">
        <f t="shared" si="52"/>
        <v>136047.69999999998</v>
      </c>
      <c r="V67" s="26">
        <f t="shared" si="52"/>
        <v>136047.69999999998</v>
      </c>
      <c r="W67" s="26">
        <f t="shared" si="52"/>
        <v>272095.39999999997</v>
      </c>
      <c r="X67" s="26">
        <f t="shared" si="52"/>
        <v>272095.39999999997</v>
      </c>
      <c r="Y67" s="26">
        <f t="shared" si="52"/>
        <v>272095.39999999997</v>
      </c>
      <c r="Z67" s="26">
        <f t="shared" si="52"/>
        <v>272095.39999999997</v>
      </c>
      <c r="AA67" s="26">
        <f t="shared" si="52"/>
        <v>272095.39999999997</v>
      </c>
      <c r="AB67" s="26">
        <f t="shared" si="52"/>
        <v>272095.39999999997</v>
      </c>
      <c r="AC67" s="26">
        <f t="shared" si="52"/>
        <v>136047.69999999998</v>
      </c>
      <c r="AD67" s="26">
        <f t="shared" si="52"/>
        <v>136047.69999999998</v>
      </c>
      <c r="AE67" s="26">
        <f t="shared" si="52"/>
        <v>136047.69999999998</v>
      </c>
      <c r="AF67" s="26">
        <f>SUM(T67:AE67)</f>
        <v>2448858.6</v>
      </c>
      <c r="AG67" s="24"/>
      <c r="AH67" s="24"/>
      <c r="AI67" s="24"/>
      <c r="AJ67" s="24"/>
      <c r="AK67" s="35" t="s">
        <v>24</v>
      </c>
      <c r="AL67" s="26">
        <f t="shared" ref="AL67:AW67" si="53">+AL65*AL66</f>
        <v>136047.69999999998</v>
      </c>
      <c r="AM67" s="26">
        <f t="shared" si="53"/>
        <v>136047.69999999998</v>
      </c>
      <c r="AN67" s="26">
        <f t="shared" si="53"/>
        <v>136047.69999999998</v>
      </c>
      <c r="AO67" s="26">
        <f t="shared" si="53"/>
        <v>272095.39999999997</v>
      </c>
      <c r="AP67" s="26">
        <f t="shared" si="53"/>
        <v>272095.39999999997</v>
      </c>
      <c r="AQ67" s="26">
        <f t="shared" si="53"/>
        <v>272095.39999999997</v>
      </c>
      <c r="AR67" s="26">
        <f t="shared" si="53"/>
        <v>272095.39999999997</v>
      </c>
      <c r="AS67" s="26">
        <f t="shared" si="53"/>
        <v>272095.39999999997</v>
      </c>
      <c r="AT67" s="26">
        <f t="shared" si="53"/>
        <v>272095.39999999997</v>
      </c>
      <c r="AU67" s="26">
        <f t="shared" si="53"/>
        <v>136047.69999999998</v>
      </c>
      <c r="AV67" s="26">
        <f t="shared" si="53"/>
        <v>136047.69999999998</v>
      </c>
      <c r="AW67" s="26">
        <f t="shared" si="53"/>
        <v>136047.69999999998</v>
      </c>
      <c r="AX67" s="26">
        <f>SUM(AL67:AW67)</f>
        <v>2448858.6</v>
      </c>
      <c r="AY67" s="24"/>
      <c r="AZ67" s="24"/>
      <c r="BA67" s="24"/>
      <c r="BB67" s="24"/>
    </row>
    <row r="68" spans="1:54">
      <c r="A68" s="35" t="s">
        <v>790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4"/>
      <c r="P68" s="24"/>
      <c r="Q68" s="24"/>
      <c r="R68" s="24"/>
      <c r="S68" s="35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4"/>
      <c r="AH68" s="24"/>
      <c r="AI68" s="24"/>
      <c r="AJ68" s="24"/>
      <c r="AK68" s="35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4"/>
      <c r="AZ68" s="24"/>
      <c r="BA68" s="24"/>
      <c r="BB68" s="24"/>
    </row>
    <row r="69" spans="1:54">
      <c r="A69" s="35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35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35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</row>
    <row r="70" spans="1:54" ht="21" thickBot="1">
      <c r="A70" s="351" t="s">
        <v>25</v>
      </c>
      <c r="B70" s="40">
        <f>SUM(B55,B59,B63,B67)</f>
        <v>284182.63250000001</v>
      </c>
      <c r="C70" s="40">
        <f t="shared" ref="C70:M70" si="54">SUM(C55,C59,C63,C67)</f>
        <v>284182.63250000001</v>
      </c>
      <c r="D70" s="40">
        <f t="shared" si="54"/>
        <v>284182.63250000001</v>
      </c>
      <c r="E70" s="40">
        <f t="shared" si="54"/>
        <v>422693.26500000001</v>
      </c>
      <c r="F70" s="40">
        <f t="shared" si="54"/>
        <v>469071.16000000003</v>
      </c>
      <c r="G70" s="40">
        <f t="shared" si="54"/>
        <v>469071.16000000003</v>
      </c>
      <c r="H70" s="40">
        <f t="shared" si="54"/>
        <v>469071.16000000003</v>
      </c>
      <c r="I70" s="40">
        <f t="shared" si="54"/>
        <v>468789.68200000003</v>
      </c>
      <c r="J70" s="40">
        <f t="shared" si="54"/>
        <v>468789.68200000003</v>
      </c>
      <c r="K70" s="40">
        <f t="shared" si="54"/>
        <v>281698.30799999996</v>
      </c>
      <c r="L70" s="40">
        <f t="shared" si="54"/>
        <v>281698.30799999996</v>
      </c>
      <c r="M70" s="40">
        <f t="shared" si="54"/>
        <v>281698.30799999996</v>
      </c>
      <c r="N70" s="40">
        <f>SUM(B70:M70)</f>
        <v>4465128.9305000007</v>
      </c>
      <c r="O70" s="24"/>
      <c r="P70" s="24"/>
      <c r="Q70" s="24"/>
      <c r="R70" s="24"/>
      <c r="S70" s="351" t="s">
        <v>25</v>
      </c>
      <c r="T70" s="40">
        <f>SUM(T55,T59,T63,T67)</f>
        <v>284047.69999999995</v>
      </c>
      <c r="U70" s="40">
        <f t="shared" ref="U70:AE70" si="55">SUM(U55,U59,U63,U67)</f>
        <v>284047.69999999995</v>
      </c>
      <c r="V70" s="40">
        <f t="shared" si="55"/>
        <v>284047.69999999995</v>
      </c>
      <c r="W70" s="40">
        <f t="shared" si="55"/>
        <v>420095.39999999997</v>
      </c>
      <c r="X70" s="40">
        <f t="shared" si="55"/>
        <v>468257.79999999993</v>
      </c>
      <c r="Y70" s="40">
        <f t="shared" si="55"/>
        <v>468257.79999999993</v>
      </c>
      <c r="Z70" s="40">
        <f t="shared" si="55"/>
        <v>468257.79999999993</v>
      </c>
      <c r="AA70" s="40">
        <f t="shared" si="55"/>
        <v>468257.79999999993</v>
      </c>
      <c r="AB70" s="40">
        <f t="shared" si="55"/>
        <v>468257.79999999993</v>
      </c>
      <c r="AC70" s="40">
        <f t="shared" si="55"/>
        <v>284047.69999999995</v>
      </c>
      <c r="AD70" s="40">
        <f t="shared" si="55"/>
        <v>284047.69999999995</v>
      </c>
      <c r="AE70" s="40">
        <f t="shared" si="55"/>
        <v>284047.69999999995</v>
      </c>
      <c r="AF70" s="40">
        <f>SUM(T70:AE70)</f>
        <v>4465670.5999999996</v>
      </c>
      <c r="AG70" s="24"/>
      <c r="AH70" s="24"/>
      <c r="AI70" s="24"/>
      <c r="AJ70" s="24"/>
      <c r="AK70" s="351" t="s">
        <v>25</v>
      </c>
      <c r="AL70" s="40">
        <f>SUM(AL55,AL59,AL63,AL67)</f>
        <v>284047.69999999995</v>
      </c>
      <c r="AM70" s="40">
        <f t="shared" ref="AM70:AW70" si="56">SUM(AM55,AM59,AM63,AM67)</f>
        <v>284047.69999999995</v>
      </c>
      <c r="AN70" s="40">
        <f t="shared" si="56"/>
        <v>284047.69999999995</v>
      </c>
      <c r="AO70" s="40">
        <f t="shared" si="56"/>
        <v>420095.39999999997</v>
      </c>
      <c r="AP70" s="40">
        <f t="shared" si="56"/>
        <v>468257.79999999993</v>
      </c>
      <c r="AQ70" s="40">
        <f t="shared" si="56"/>
        <v>468257.79999999993</v>
      </c>
      <c r="AR70" s="40">
        <f t="shared" si="56"/>
        <v>468257.79999999993</v>
      </c>
      <c r="AS70" s="40">
        <f t="shared" si="56"/>
        <v>468257.79999999993</v>
      </c>
      <c r="AT70" s="40">
        <f t="shared" si="56"/>
        <v>468257.79999999993</v>
      </c>
      <c r="AU70" s="40">
        <f t="shared" si="56"/>
        <v>284047.69999999995</v>
      </c>
      <c r="AV70" s="40">
        <f t="shared" si="56"/>
        <v>284047.69999999995</v>
      </c>
      <c r="AW70" s="40">
        <f t="shared" si="56"/>
        <v>284047.69999999995</v>
      </c>
      <c r="AX70" s="40">
        <f>SUM(AL70:AW70)</f>
        <v>4465670.5999999996</v>
      </c>
      <c r="AY70" s="24"/>
      <c r="AZ70" s="24"/>
      <c r="BA70" s="24"/>
      <c r="BB70" s="24"/>
    </row>
    <row r="71" spans="1:54" ht="21" thickTop="1"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</row>
    <row r="72" spans="1:54">
      <c r="A72" s="349" t="s">
        <v>26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349" t="s">
        <v>26</v>
      </c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349" t="s">
        <v>26</v>
      </c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</row>
    <row r="73" spans="1:54">
      <c r="A73" s="35" t="s">
        <v>182</v>
      </c>
      <c r="B73" s="28">
        <f t="shared" ref="B73:M73" si="57">10946+10000+10000</f>
        <v>30946</v>
      </c>
      <c r="C73" s="28">
        <f t="shared" si="57"/>
        <v>30946</v>
      </c>
      <c r="D73" s="28">
        <f t="shared" si="57"/>
        <v>30946</v>
      </c>
      <c r="E73" s="28">
        <f t="shared" si="57"/>
        <v>30946</v>
      </c>
      <c r="F73" s="28">
        <f t="shared" si="57"/>
        <v>30946</v>
      </c>
      <c r="G73" s="28">
        <f t="shared" si="57"/>
        <v>30946</v>
      </c>
      <c r="H73" s="28">
        <f t="shared" si="57"/>
        <v>30946</v>
      </c>
      <c r="I73" s="28">
        <f t="shared" si="57"/>
        <v>30946</v>
      </c>
      <c r="J73" s="28">
        <f t="shared" si="57"/>
        <v>30946</v>
      </c>
      <c r="K73" s="28">
        <f t="shared" si="57"/>
        <v>30946</v>
      </c>
      <c r="L73" s="28">
        <f t="shared" si="57"/>
        <v>30946</v>
      </c>
      <c r="M73" s="28">
        <f t="shared" si="57"/>
        <v>30946</v>
      </c>
      <c r="N73" s="24"/>
      <c r="O73" s="24"/>
      <c r="P73" s="24"/>
      <c r="Q73" s="24"/>
      <c r="R73" s="24"/>
      <c r="S73" s="35" t="s">
        <v>182</v>
      </c>
      <c r="T73" s="28">
        <f t="shared" ref="T73:AE73" si="58">10946+10000+10000</f>
        <v>30946</v>
      </c>
      <c r="U73" s="28">
        <f t="shared" si="58"/>
        <v>30946</v>
      </c>
      <c r="V73" s="28">
        <f t="shared" si="58"/>
        <v>30946</v>
      </c>
      <c r="W73" s="28">
        <f t="shared" si="58"/>
        <v>30946</v>
      </c>
      <c r="X73" s="28">
        <f t="shared" si="58"/>
        <v>30946</v>
      </c>
      <c r="Y73" s="28">
        <f t="shared" si="58"/>
        <v>30946</v>
      </c>
      <c r="Z73" s="28">
        <f t="shared" si="58"/>
        <v>30946</v>
      </c>
      <c r="AA73" s="28">
        <f t="shared" si="58"/>
        <v>30946</v>
      </c>
      <c r="AB73" s="28">
        <f t="shared" si="58"/>
        <v>30946</v>
      </c>
      <c r="AC73" s="28">
        <f t="shared" si="58"/>
        <v>30946</v>
      </c>
      <c r="AD73" s="28">
        <f t="shared" si="58"/>
        <v>30946</v>
      </c>
      <c r="AE73" s="28">
        <f t="shared" si="58"/>
        <v>30946</v>
      </c>
      <c r="AF73" s="24"/>
      <c r="AG73" s="24"/>
      <c r="AH73" s="24"/>
      <c r="AI73" s="24"/>
      <c r="AJ73" s="24"/>
      <c r="AK73" s="35" t="s">
        <v>182</v>
      </c>
      <c r="AL73" s="28">
        <f t="shared" ref="AL73:AW73" si="59">10946+10000+10000</f>
        <v>30946</v>
      </c>
      <c r="AM73" s="28">
        <f t="shared" si="59"/>
        <v>30946</v>
      </c>
      <c r="AN73" s="28">
        <f t="shared" si="59"/>
        <v>30946</v>
      </c>
      <c r="AO73" s="28">
        <f t="shared" si="59"/>
        <v>30946</v>
      </c>
      <c r="AP73" s="28">
        <f t="shared" si="59"/>
        <v>30946</v>
      </c>
      <c r="AQ73" s="28">
        <f t="shared" si="59"/>
        <v>30946</v>
      </c>
      <c r="AR73" s="28">
        <f t="shared" si="59"/>
        <v>30946</v>
      </c>
      <c r="AS73" s="28">
        <f t="shared" si="59"/>
        <v>30946</v>
      </c>
      <c r="AT73" s="28">
        <f t="shared" si="59"/>
        <v>30946</v>
      </c>
      <c r="AU73" s="28">
        <f t="shared" si="59"/>
        <v>30946</v>
      </c>
      <c r="AV73" s="28">
        <f t="shared" si="59"/>
        <v>30946</v>
      </c>
      <c r="AW73" s="28">
        <f t="shared" si="59"/>
        <v>30946</v>
      </c>
      <c r="AX73" s="24"/>
      <c r="AY73" s="24"/>
      <c r="AZ73" s="24"/>
      <c r="BA73" s="24"/>
      <c r="BB73" s="24"/>
    </row>
    <row r="74" spans="1:54">
      <c r="A74" s="35" t="s">
        <v>183</v>
      </c>
      <c r="B74" s="403">
        <v>1.8773</v>
      </c>
      <c r="C74" s="403">
        <v>1.8773</v>
      </c>
      <c r="D74" s="403">
        <v>1.8773</v>
      </c>
      <c r="E74" s="403">
        <v>1.8773</v>
      </c>
      <c r="F74" s="403">
        <v>1.8892</v>
      </c>
      <c r="G74" s="403">
        <v>1.8892</v>
      </c>
      <c r="H74" s="403">
        <v>1.8892</v>
      </c>
      <c r="I74" s="403">
        <v>1.8892</v>
      </c>
      <c r="J74" s="403">
        <v>1.8892</v>
      </c>
      <c r="K74" s="403">
        <v>1.8892</v>
      </c>
      <c r="L74" s="403">
        <v>1.8892</v>
      </c>
      <c r="M74" s="403">
        <v>1.8892</v>
      </c>
      <c r="N74" s="24"/>
      <c r="O74" s="24"/>
      <c r="P74" s="24"/>
      <c r="Q74" s="24"/>
      <c r="R74" s="24"/>
      <c r="S74" s="35" t="s">
        <v>183</v>
      </c>
      <c r="T74" s="21">
        <v>1.9</v>
      </c>
      <c r="U74" s="21">
        <v>1.9</v>
      </c>
      <c r="V74" s="21">
        <v>1.9</v>
      </c>
      <c r="W74" s="21">
        <v>1.9</v>
      </c>
      <c r="X74" s="21">
        <v>1.9</v>
      </c>
      <c r="Y74" s="21">
        <v>1.9</v>
      </c>
      <c r="Z74" s="21">
        <v>1.9</v>
      </c>
      <c r="AA74" s="21">
        <v>1.9</v>
      </c>
      <c r="AB74" s="21">
        <v>1.9</v>
      </c>
      <c r="AC74" s="21">
        <v>1.9</v>
      </c>
      <c r="AD74" s="21">
        <v>1.9</v>
      </c>
      <c r="AE74" s="21">
        <v>1.9</v>
      </c>
      <c r="AF74" s="24"/>
      <c r="AG74" s="24"/>
      <c r="AH74" s="24"/>
      <c r="AI74" s="24"/>
      <c r="AJ74" s="24"/>
      <c r="AK74" s="35" t="s">
        <v>183</v>
      </c>
      <c r="AL74" s="21">
        <v>1.9</v>
      </c>
      <c r="AM74" s="21">
        <v>1.9</v>
      </c>
      <c r="AN74" s="21">
        <v>1.9</v>
      </c>
      <c r="AO74" s="21">
        <v>1.9</v>
      </c>
      <c r="AP74" s="21">
        <v>1.9</v>
      </c>
      <c r="AQ74" s="21">
        <v>1.9</v>
      </c>
      <c r="AR74" s="21">
        <v>1.9</v>
      </c>
      <c r="AS74" s="21">
        <v>1.9</v>
      </c>
      <c r="AT74" s="21">
        <v>1.9</v>
      </c>
      <c r="AU74" s="21">
        <v>1.9</v>
      </c>
      <c r="AV74" s="21">
        <v>1.9</v>
      </c>
      <c r="AW74" s="21">
        <v>1.9</v>
      </c>
      <c r="AX74" s="24"/>
      <c r="AY74" s="24"/>
      <c r="AZ74" s="24"/>
      <c r="BA74" s="24"/>
      <c r="BB74" s="24"/>
    </row>
    <row r="75" spans="1:54">
      <c r="A75" s="35" t="s">
        <v>184</v>
      </c>
      <c r="B75" s="26">
        <f t="shared" ref="B75:M75" si="60">B73*B74</f>
        <v>58094.925799999997</v>
      </c>
      <c r="C75" s="26">
        <f t="shared" si="60"/>
        <v>58094.925799999997</v>
      </c>
      <c r="D75" s="26">
        <f t="shared" si="60"/>
        <v>58094.925799999997</v>
      </c>
      <c r="E75" s="26">
        <f t="shared" si="60"/>
        <v>58094.925799999997</v>
      </c>
      <c r="F75" s="26">
        <f t="shared" si="60"/>
        <v>58463.183199999999</v>
      </c>
      <c r="G75" s="26">
        <f t="shared" si="60"/>
        <v>58463.183199999999</v>
      </c>
      <c r="H75" s="26">
        <f t="shared" si="60"/>
        <v>58463.183199999999</v>
      </c>
      <c r="I75" s="26">
        <f t="shared" si="60"/>
        <v>58463.183199999999</v>
      </c>
      <c r="J75" s="26">
        <f t="shared" si="60"/>
        <v>58463.183199999999</v>
      </c>
      <c r="K75" s="26">
        <f t="shared" si="60"/>
        <v>58463.183199999999</v>
      </c>
      <c r="L75" s="26">
        <f t="shared" si="60"/>
        <v>58463.183199999999</v>
      </c>
      <c r="M75" s="26">
        <f t="shared" si="60"/>
        <v>58463.183199999999</v>
      </c>
      <c r="N75" s="26">
        <f>SUM(B75:M75)</f>
        <v>700085.16879999975</v>
      </c>
      <c r="O75" s="24"/>
      <c r="P75" s="24"/>
      <c r="Q75" s="24"/>
      <c r="R75" s="24"/>
      <c r="S75" s="35" t="s">
        <v>184</v>
      </c>
      <c r="T75" s="26">
        <f t="shared" ref="T75:AE75" si="61">T73*T74</f>
        <v>58797.399999999994</v>
      </c>
      <c r="U75" s="26">
        <f t="shared" si="61"/>
        <v>58797.399999999994</v>
      </c>
      <c r="V75" s="26">
        <f t="shared" si="61"/>
        <v>58797.399999999994</v>
      </c>
      <c r="W75" s="26">
        <f t="shared" si="61"/>
        <v>58797.399999999994</v>
      </c>
      <c r="X75" s="26">
        <f t="shared" si="61"/>
        <v>58797.399999999994</v>
      </c>
      <c r="Y75" s="26">
        <f t="shared" si="61"/>
        <v>58797.399999999994</v>
      </c>
      <c r="Z75" s="26">
        <f t="shared" si="61"/>
        <v>58797.399999999994</v>
      </c>
      <c r="AA75" s="26">
        <f t="shared" si="61"/>
        <v>58797.399999999994</v>
      </c>
      <c r="AB75" s="26">
        <f t="shared" si="61"/>
        <v>58797.399999999994</v>
      </c>
      <c r="AC75" s="26">
        <f t="shared" si="61"/>
        <v>58797.399999999994</v>
      </c>
      <c r="AD75" s="26">
        <f t="shared" si="61"/>
        <v>58797.399999999994</v>
      </c>
      <c r="AE75" s="26">
        <f t="shared" si="61"/>
        <v>58797.399999999994</v>
      </c>
      <c r="AF75" s="26">
        <f>SUM(T75:AE75)</f>
        <v>705568.80000000016</v>
      </c>
      <c r="AG75" s="24"/>
      <c r="AH75" s="24"/>
      <c r="AI75" s="24"/>
      <c r="AJ75" s="24"/>
      <c r="AK75" s="35" t="s">
        <v>184</v>
      </c>
      <c r="AL75" s="26">
        <f t="shared" ref="AL75:AW75" si="62">AL73*AL74</f>
        <v>58797.399999999994</v>
      </c>
      <c r="AM75" s="26">
        <f t="shared" si="62"/>
        <v>58797.399999999994</v>
      </c>
      <c r="AN75" s="26">
        <f t="shared" si="62"/>
        <v>58797.399999999994</v>
      </c>
      <c r="AO75" s="26">
        <f t="shared" si="62"/>
        <v>58797.399999999994</v>
      </c>
      <c r="AP75" s="26">
        <f t="shared" si="62"/>
        <v>58797.399999999994</v>
      </c>
      <c r="AQ75" s="26">
        <f t="shared" si="62"/>
        <v>58797.399999999994</v>
      </c>
      <c r="AR75" s="26">
        <f t="shared" si="62"/>
        <v>58797.399999999994</v>
      </c>
      <c r="AS75" s="26">
        <f t="shared" si="62"/>
        <v>58797.399999999994</v>
      </c>
      <c r="AT75" s="26">
        <f t="shared" si="62"/>
        <v>58797.399999999994</v>
      </c>
      <c r="AU75" s="26">
        <f t="shared" si="62"/>
        <v>58797.399999999994</v>
      </c>
      <c r="AV75" s="26">
        <f t="shared" si="62"/>
        <v>58797.399999999994</v>
      </c>
      <c r="AW75" s="26">
        <f t="shared" si="62"/>
        <v>58797.399999999994</v>
      </c>
      <c r="AX75" s="26">
        <f>SUM(AL75:AW75)</f>
        <v>705568.80000000016</v>
      </c>
      <c r="AY75" s="24"/>
      <c r="AZ75" s="24"/>
      <c r="BA75" s="24"/>
      <c r="BB75" s="24"/>
    </row>
    <row r="76" spans="1:54">
      <c r="A76" s="35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35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35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</row>
    <row r="77" spans="1:54">
      <c r="A77" s="35" t="s">
        <v>185</v>
      </c>
      <c r="B77" s="36">
        <f>562659+300000+300000+600000</f>
        <v>1762659</v>
      </c>
      <c r="C77" s="36">
        <f>562659+300000+300000+600000</f>
        <v>1762659</v>
      </c>
      <c r="D77" s="36">
        <f>562659+300000+300000+600000</f>
        <v>1762659</v>
      </c>
      <c r="E77" s="36">
        <f>562659+300000+300000+600000</f>
        <v>1762659</v>
      </c>
      <c r="F77" s="36">
        <f>562659+300000+300000+600000</f>
        <v>1762659</v>
      </c>
      <c r="G77" s="36">
        <f t="shared" ref="G77:M77" si="63">562659+300000+300000+600000</f>
        <v>1762659</v>
      </c>
      <c r="H77" s="36">
        <f t="shared" si="63"/>
        <v>1762659</v>
      </c>
      <c r="I77" s="36">
        <f t="shared" si="63"/>
        <v>1762659</v>
      </c>
      <c r="J77" s="36">
        <f t="shared" si="63"/>
        <v>1762659</v>
      </c>
      <c r="K77" s="36">
        <f t="shared" si="63"/>
        <v>1762659</v>
      </c>
      <c r="L77" s="36">
        <f t="shared" si="63"/>
        <v>1762659</v>
      </c>
      <c r="M77" s="36">
        <f t="shared" si="63"/>
        <v>1762659</v>
      </c>
      <c r="N77" s="24"/>
      <c r="O77" s="24"/>
      <c r="P77" s="24"/>
      <c r="Q77" s="24"/>
      <c r="R77" s="24"/>
      <c r="S77" s="35" t="s">
        <v>185</v>
      </c>
      <c r="T77" s="36">
        <f>562659+300000+300000+600000</f>
        <v>1762659</v>
      </c>
      <c r="U77" s="36">
        <f>562659+300000+300000+600000</f>
        <v>1762659</v>
      </c>
      <c r="V77" s="36">
        <f>562659+300000+300000+600000</f>
        <v>1762659</v>
      </c>
      <c r="W77" s="36">
        <f>562659+300000+300000+600000</f>
        <v>1762659</v>
      </c>
      <c r="X77" s="36">
        <f>562659+300000+300000+600000</f>
        <v>1762659</v>
      </c>
      <c r="Y77" s="36">
        <f t="shared" ref="Y77:AE77" si="64">562659+300000+300000+600000</f>
        <v>1762659</v>
      </c>
      <c r="Z77" s="36">
        <f t="shared" si="64"/>
        <v>1762659</v>
      </c>
      <c r="AA77" s="36">
        <f t="shared" si="64"/>
        <v>1762659</v>
      </c>
      <c r="AB77" s="36">
        <f t="shared" si="64"/>
        <v>1762659</v>
      </c>
      <c r="AC77" s="36">
        <f t="shared" si="64"/>
        <v>1762659</v>
      </c>
      <c r="AD77" s="36">
        <f t="shared" si="64"/>
        <v>1762659</v>
      </c>
      <c r="AE77" s="36">
        <f t="shared" si="64"/>
        <v>1762659</v>
      </c>
      <c r="AF77" s="24"/>
      <c r="AG77" s="24"/>
      <c r="AH77" s="24"/>
      <c r="AI77" s="24"/>
      <c r="AJ77" s="24"/>
      <c r="AK77" s="35" t="s">
        <v>185</v>
      </c>
      <c r="AL77" s="36">
        <f>562659+300000+300000+600000</f>
        <v>1762659</v>
      </c>
      <c r="AM77" s="36">
        <f>562659+300000+300000+600000</f>
        <v>1762659</v>
      </c>
      <c r="AN77" s="36">
        <f>562659+300000+300000+600000</f>
        <v>1762659</v>
      </c>
      <c r="AO77" s="36">
        <f>562659+300000+300000+600000</f>
        <v>1762659</v>
      </c>
      <c r="AP77" s="36">
        <f>562659+300000+300000+600000</f>
        <v>1762659</v>
      </c>
      <c r="AQ77" s="36">
        <f t="shared" ref="AQ77:AW77" si="65">562659+300000+300000+600000</f>
        <v>1762659</v>
      </c>
      <c r="AR77" s="36">
        <f t="shared" si="65"/>
        <v>1762659</v>
      </c>
      <c r="AS77" s="36">
        <f t="shared" si="65"/>
        <v>1762659</v>
      </c>
      <c r="AT77" s="36">
        <f t="shared" si="65"/>
        <v>1762659</v>
      </c>
      <c r="AU77" s="36">
        <f t="shared" si="65"/>
        <v>1762659</v>
      </c>
      <c r="AV77" s="36">
        <f t="shared" si="65"/>
        <v>1762659</v>
      </c>
      <c r="AW77" s="36">
        <f t="shared" si="65"/>
        <v>1762659</v>
      </c>
      <c r="AX77" s="24"/>
      <c r="AY77" s="24"/>
      <c r="AZ77" s="24"/>
      <c r="BA77" s="24"/>
      <c r="BB77" s="24"/>
    </row>
    <row r="78" spans="1:54">
      <c r="A78" s="35" t="s">
        <v>183</v>
      </c>
      <c r="B78" s="403">
        <v>1.4500000000000001E-2</v>
      </c>
      <c r="C78" s="403">
        <v>1.4500000000000001E-2</v>
      </c>
      <c r="D78" s="403">
        <v>1.4500000000000001E-2</v>
      </c>
      <c r="E78" s="403">
        <v>1.4500000000000001E-2</v>
      </c>
      <c r="F78" s="403">
        <v>1.4500000000000001E-2</v>
      </c>
      <c r="G78" s="403">
        <v>1.4500000000000001E-2</v>
      </c>
      <c r="H78" s="403">
        <v>1.4500000000000001E-2</v>
      </c>
      <c r="I78" s="403">
        <v>1.4500000000000001E-2</v>
      </c>
      <c r="J78" s="403">
        <v>1.4500000000000001E-2</v>
      </c>
      <c r="K78" s="403">
        <v>1.4500000000000001E-2</v>
      </c>
      <c r="L78" s="403">
        <v>1.4500000000000001E-2</v>
      </c>
      <c r="M78" s="403">
        <v>1.4500000000000001E-2</v>
      </c>
      <c r="N78" s="24"/>
      <c r="O78" s="24"/>
      <c r="P78" s="24"/>
      <c r="Q78" s="24"/>
      <c r="R78" s="24"/>
      <c r="S78" s="35" t="s">
        <v>183</v>
      </c>
      <c r="T78" s="21">
        <v>1.4999999999999999E-2</v>
      </c>
      <c r="U78" s="21">
        <v>1.4999999999999999E-2</v>
      </c>
      <c r="V78" s="21">
        <v>1.4999999999999999E-2</v>
      </c>
      <c r="W78" s="21">
        <v>1.4999999999999999E-2</v>
      </c>
      <c r="X78" s="21">
        <v>1.4999999999999999E-2</v>
      </c>
      <c r="Y78" s="21">
        <v>1.4999999999999999E-2</v>
      </c>
      <c r="Z78" s="21">
        <v>1.4999999999999999E-2</v>
      </c>
      <c r="AA78" s="21">
        <v>1.4999999999999999E-2</v>
      </c>
      <c r="AB78" s="21">
        <v>1.4999999999999999E-2</v>
      </c>
      <c r="AC78" s="21">
        <v>1.4999999999999999E-2</v>
      </c>
      <c r="AD78" s="21">
        <v>1.4999999999999999E-2</v>
      </c>
      <c r="AE78" s="21">
        <v>1.4999999999999999E-2</v>
      </c>
      <c r="AF78" s="24"/>
      <c r="AG78" s="24"/>
      <c r="AH78" s="24"/>
      <c r="AI78" s="24"/>
      <c r="AJ78" s="24"/>
      <c r="AK78" s="35" t="s">
        <v>183</v>
      </c>
      <c r="AL78" s="21">
        <v>1.4999999999999999E-2</v>
      </c>
      <c r="AM78" s="21">
        <v>1.4999999999999999E-2</v>
      </c>
      <c r="AN78" s="21">
        <v>1.4999999999999999E-2</v>
      </c>
      <c r="AO78" s="21">
        <v>1.4999999999999999E-2</v>
      </c>
      <c r="AP78" s="21">
        <v>1.4999999999999999E-2</v>
      </c>
      <c r="AQ78" s="21">
        <v>1.4999999999999999E-2</v>
      </c>
      <c r="AR78" s="21">
        <v>1.4999999999999999E-2</v>
      </c>
      <c r="AS78" s="21">
        <v>1.4999999999999999E-2</v>
      </c>
      <c r="AT78" s="21">
        <v>1.4999999999999999E-2</v>
      </c>
      <c r="AU78" s="21">
        <v>1.4999999999999999E-2</v>
      </c>
      <c r="AV78" s="21">
        <v>1.4999999999999999E-2</v>
      </c>
      <c r="AW78" s="21">
        <v>1.4999999999999999E-2</v>
      </c>
      <c r="AX78" s="24"/>
      <c r="AY78" s="24"/>
      <c r="AZ78" s="24"/>
      <c r="BA78" s="24"/>
      <c r="BB78" s="24"/>
    </row>
    <row r="79" spans="1:54">
      <c r="A79" s="35" t="s">
        <v>184</v>
      </c>
      <c r="B79" s="26">
        <f>+B77*B78</f>
        <v>25558.555500000002</v>
      </c>
      <c r="C79" s="26">
        <f>+C77*C78</f>
        <v>25558.555500000002</v>
      </c>
      <c r="D79" s="26">
        <f>+D77*D78</f>
        <v>25558.555500000002</v>
      </c>
      <c r="E79" s="26">
        <f t="shared" ref="E79:M79" si="66">E77*E78</f>
        <v>25558.555500000002</v>
      </c>
      <c r="F79" s="26">
        <f t="shared" si="66"/>
        <v>25558.555500000002</v>
      </c>
      <c r="G79" s="26">
        <f t="shared" si="66"/>
        <v>25558.555500000002</v>
      </c>
      <c r="H79" s="26">
        <f t="shared" si="66"/>
        <v>25558.555500000002</v>
      </c>
      <c r="I79" s="26">
        <f t="shared" si="66"/>
        <v>25558.555500000002</v>
      </c>
      <c r="J79" s="26">
        <f t="shared" si="66"/>
        <v>25558.555500000002</v>
      </c>
      <c r="K79" s="26">
        <f t="shared" si="66"/>
        <v>25558.555500000002</v>
      </c>
      <c r="L79" s="26">
        <f t="shared" si="66"/>
        <v>25558.555500000002</v>
      </c>
      <c r="M79" s="26">
        <f t="shared" si="66"/>
        <v>25558.555500000002</v>
      </c>
      <c r="N79" s="26">
        <f>SUM(B79:M79)</f>
        <v>306702.66600000008</v>
      </c>
      <c r="O79" s="24"/>
      <c r="P79" s="24"/>
      <c r="Q79" s="24"/>
      <c r="R79" s="24"/>
      <c r="S79" s="35" t="s">
        <v>184</v>
      </c>
      <c r="T79" s="26">
        <f>+T77*T78</f>
        <v>26439.884999999998</v>
      </c>
      <c r="U79" s="26">
        <f>+U77*U78</f>
        <v>26439.884999999998</v>
      </c>
      <c r="V79" s="26">
        <f>+V77*V78</f>
        <v>26439.884999999998</v>
      </c>
      <c r="W79" s="26">
        <f t="shared" ref="W79:AE79" si="67">W77*W78</f>
        <v>26439.884999999998</v>
      </c>
      <c r="X79" s="26">
        <f t="shared" si="67"/>
        <v>26439.884999999998</v>
      </c>
      <c r="Y79" s="26">
        <f t="shared" si="67"/>
        <v>26439.884999999998</v>
      </c>
      <c r="Z79" s="26">
        <f t="shared" si="67"/>
        <v>26439.884999999998</v>
      </c>
      <c r="AA79" s="26">
        <f t="shared" si="67"/>
        <v>26439.884999999998</v>
      </c>
      <c r="AB79" s="26">
        <f t="shared" si="67"/>
        <v>26439.884999999998</v>
      </c>
      <c r="AC79" s="26">
        <f t="shared" si="67"/>
        <v>26439.884999999998</v>
      </c>
      <c r="AD79" s="26">
        <f t="shared" si="67"/>
        <v>26439.884999999998</v>
      </c>
      <c r="AE79" s="26">
        <f t="shared" si="67"/>
        <v>26439.884999999998</v>
      </c>
      <c r="AF79" s="26">
        <f>SUM(T79:AE79)</f>
        <v>317278.62000000005</v>
      </c>
      <c r="AG79" s="24"/>
      <c r="AH79" s="24"/>
      <c r="AI79" s="24"/>
      <c r="AJ79" s="24"/>
      <c r="AK79" s="35" t="s">
        <v>184</v>
      </c>
      <c r="AL79" s="26">
        <f>+AL77*AL78</f>
        <v>26439.884999999998</v>
      </c>
      <c r="AM79" s="26">
        <f>+AM77*AM78</f>
        <v>26439.884999999998</v>
      </c>
      <c r="AN79" s="26">
        <f>+AN77*AN78</f>
        <v>26439.884999999998</v>
      </c>
      <c r="AO79" s="26">
        <f t="shared" ref="AO79:AW79" si="68">AO77*AO78</f>
        <v>26439.884999999998</v>
      </c>
      <c r="AP79" s="26">
        <f t="shared" si="68"/>
        <v>26439.884999999998</v>
      </c>
      <c r="AQ79" s="26">
        <f t="shared" si="68"/>
        <v>26439.884999999998</v>
      </c>
      <c r="AR79" s="26">
        <f t="shared" si="68"/>
        <v>26439.884999999998</v>
      </c>
      <c r="AS79" s="26">
        <f t="shared" si="68"/>
        <v>26439.884999999998</v>
      </c>
      <c r="AT79" s="26">
        <f t="shared" si="68"/>
        <v>26439.884999999998</v>
      </c>
      <c r="AU79" s="26">
        <f t="shared" si="68"/>
        <v>26439.884999999998</v>
      </c>
      <c r="AV79" s="26">
        <f t="shared" si="68"/>
        <v>26439.884999999998</v>
      </c>
      <c r="AW79" s="26">
        <f t="shared" si="68"/>
        <v>26439.884999999998</v>
      </c>
      <c r="AX79" s="26">
        <f>SUM(AL79:AW79)</f>
        <v>317278.62000000005</v>
      </c>
      <c r="AY79" s="24"/>
      <c r="AZ79" s="24"/>
      <c r="BA79" s="24"/>
      <c r="BB79" s="24"/>
    </row>
    <row r="80" spans="1:54">
      <c r="A80" s="35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35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35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</row>
    <row r="81" spans="1:54">
      <c r="A81" s="35" t="s">
        <v>27</v>
      </c>
      <c r="B81" s="36">
        <v>46913</v>
      </c>
      <c r="C81" s="36">
        <v>46913</v>
      </c>
      <c r="D81" s="36">
        <v>46913</v>
      </c>
      <c r="E81" s="36">
        <v>46913</v>
      </c>
      <c r="F81" s="36">
        <v>46913</v>
      </c>
      <c r="G81" s="36">
        <v>46913</v>
      </c>
      <c r="H81" s="36">
        <v>46913</v>
      </c>
      <c r="I81" s="36">
        <v>46913</v>
      </c>
      <c r="J81" s="36">
        <v>46913</v>
      </c>
      <c r="K81" s="36">
        <v>46913</v>
      </c>
      <c r="L81" s="36">
        <v>46913</v>
      </c>
      <c r="M81" s="36">
        <v>46913</v>
      </c>
      <c r="N81" s="24"/>
      <c r="O81" s="24"/>
      <c r="P81" s="24"/>
      <c r="Q81" s="24"/>
      <c r="R81" s="24"/>
      <c r="S81" s="35" t="s">
        <v>27</v>
      </c>
      <c r="T81" s="36">
        <v>46913</v>
      </c>
      <c r="U81" s="36">
        <v>46913</v>
      </c>
      <c r="V81" s="36">
        <v>46913</v>
      </c>
      <c r="W81" s="36">
        <v>46913</v>
      </c>
      <c r="X81" s="36">
        <v>46913</v>
      </c>
      <c r="Y81" s="36">
        <v>46913</v>
      </c>
      <c r="Z81" s="36">
        <v>46913</v>
      </c>
      <c r="AA81" s="36">
        <v>46913</v>
      </c>
      <c r="AB81" s="36">
        <v>46913</v>
      </c>
      <c r="AC81" s="36">
        <v>46913</v>
      </c>
      <c r="AD81" s="36">
        <v>46913</v>
      </c>
      <c r="AE81" s="36">
        <v>46913</v>
      </c>
      <c r="AF81" s="24"/>
      <c r="AG81" s="24"/>
      <c r="AH81" s="24"/>
      <c r="AI81" s="24"/>
      <c r="AJ81" s="24"/>
      <c r="AK81" s="35" t="s">
        <v>27</v>
      </c>
      <c r="AL81" s="36">
        <v>46913</v>
      </c>
      <c r="AM81" s="36">
        <v>46913</v>
      </c>
      <c r="AN81" s="36">
        <v>46913</v>
      </c>
      <c r="AO81" s="36">
        <v>46913</v>
      </c>
      <c r="AP81" s="36">
        <v>46913</v>
      </c>
      <c r="AQ81" s="36">
        <v>46913</v>
      </c>
      <c r="AR81" s="36">
        <v>46913</v>
      </c>
      <c r="AS81" s="36">
        <v>46913</v>
      </c>
      <c r="AT81" s="36">
        <v>46913</v>
      </c>
      <c r="AU81" s="36">
        <v>46913</v>
      </c>
      <c r="AV81" s="36">
        <v>46913</v>
      </c>
      <c r="AW81" s="36">
        <v>46913</v>
      </c>
      <c r="AX81" s="24"/>
      <c r="AY81" s="24"/>
      <c r="AZ81" s="24"/>
      <c r="BA81" s="24"/>
      <c r="BB81" s="24"/>
    </row>
    <row r="82" spans="1:54">
      <c r="A82" s="35" t="s">
        <v>28</v>
      </c>
      <c r="B82" s="403">
        <v>1.506</v>
      </c>
      <c r="C82" s="403">
        <v>1.506</v>
      </c>
      <c r="D82" s="403">
        <v>1.506</v>
      </c>
      <c r="E82" s="403">
        <v>1.506</v>
      </c>
      <c r="F82" s="403">
        <v>1.506</v>
      </c>
      <c r="G82" s="403">
        <v>1.506</v>
      </c>
      <c r="H82" s="403">
        <v>1.506</v>
      </c>
      <c r="I82" s="403">
        <v>1.5049999999999999</v>
      </c>
      <c r="J82" s="403">
        <v>1.5049999999999999</v>
      </c>
      <c r="K82" s="403">
        <v>1.5049999999999999</v>
      </c>
      <c r="L82" s="403">
        <v>1.5049999999999999</v>
      </c>
      <c r="M82" s="403">
        <v>1.5049999999999999</v>
      </c>
      <c r="N82" s="24"/>
      <c r="O82" s="24"/>
      <c r="P82" s="24"/>
      <c r="Q82" s="24"/>
      <c r="R82" s="24"/>
      <c r="S82" s="35" t="s">
        <v>28</v>
      </c>
      <c r="T82" s="21">
        <v>1.5</v>
      </c>
      <c r="U82" s="21">
        <v>1.5</v>
      </c>
      <c r="V82" s="21">
        <v>1.5</v>
      </c>
      <c r="W82" s="21">
        <v>1.5</v>
      </c>
      <c r="X82" s="21">
        <v>1.5</v>
      </c>
      <c r="Y82" s="21">
        <v>1.5</v>
      </c>
      <c r="Z82" s="21">
        <v>1.5</v>
      </c>
      <c r="AA82" s="21">
        <v>1.5</v>
      </c>
      <c r="AB82" s="21">
        <v>1.5</v>
      </c>
      <c r="AC82" s="21">
        <v>1.5</v>
      </c>
      <c r="AD82" s="21">
        <v>1.5</v>
      </c>
      <c r="AE82" s="21">
        <v>1.5</v>
      </c>
      <c r="AF82" s="24"/>
      <c r="AG82" s="24"/>
      <c r="AH82" s="24"/>
      <c r="AI82" s="24"/>
      <c r="AJ82" s="24"/>
      <c r="AK82" s="35" t="s">
        <v>28</v>
      </c>
      <c r="AL82" s="21">
        <v>1.5</v>
      </c>
      <c r="AM82" s="21">
        <v>1.5</v>
      </c>
      <c r="AN82" s="21">
        <v>1.5</v>
      </c>
      <c r="AO82" s="21">
        <v>1.5</v>
      </c>
      <c r="AP82" s="21">
        <v>1.5</v>
      </c>
      <c r="AQ82" s="21">
        <v>1.5</v>
      </c>
      <c r="AR82" s="21">
        <v>1.5</v>
      </c>
      <c r="AS82" s="21">
        <v>1.5</v>
      </c>
      <c r="AT82" s="21">
        <v>1.5</v>
      </c>
      <c r="AU82" s="21">
        <v>1.5</v>
      </c>
      <c r="AV82" s="21">
        <v>1.5</v>
      </c>
      <c r="AW82" s="21">
        <v>1.5</v>
      </c>
      <c r="AX82" s="24"/>
      <c r="AY82" s="24"/>
      <c r="AZ82" s="24"/>
      <c r="BA82" s="24"/>
      <c r="BB82" s="24"/>
    </row>
    <row r="83" spans="1:54">
      <c r="A83" s="35" t="s">
        <v>29</v>
      </c>
      <c r="B83" s="26">
        <f t="shared" ref="B83:M83" si="69">+B81*B82</f>
        <v>70650.978000000003</v>
      </c>
      <c r="C83" s="26">
        <f t="shared" si="69"/>
        <v>70650.978000000003</v>
      </c>
      <c r="D83" s="26">
        <f t="shared" si="69"/>
        <v>70650.978000000003</v>
      </c>
      <c r="E83" s="26">
        <f t="shared" si="69"/>
        <v>70650.978000000003</v>
      </c>
      <c r="F83" s="26">
        <f t="shared" si="69"/>
        <v>70650.978000000003</v>
      </c>
      <c r="G83" s="26">
        <f t="shared" si="69"/>
        <v>70650.978000000003</v>
      </c>
      <c r="H83" s="26">
        <f t="shared" si="69"/>
        <v>70650.978000000003</v>
      </c>
      <c r="I83" s="26">
        <f t="shared" si="69"/>
        <v>70604.064999999988</v>
      </c>
      <c r="J83" s="26">
        <f t="shared" si="69"/>
        <v>70604.064999999988</v>
      </c>
      <c r="K83" s="26">
        <f t="shared" si="69"/>
        <v>70604.064999999988</v>
      </c>
      <c r="L83" s="26">
        <f t="shared" si="69"/>
        <v>70604.064999999988</v>
      </c>
      <c r="M83" s="26">
        <f t="shared" si="69"/>
        <v>70604.064999999988</v>
      </c>
      <c r="N83" s="26">
        <f>SUM(B83:M83)</f>
        <v>847577.17099999974</v>
      </c>
      <c r="O83" s="24"/>
      <c r="P83" s="24"/>
      <c r="Q83" s="24"/>
      <c r="R83" s="24"/>
      <c r="S83" s="35" t="s">
        <v>29</v>
      </c>
      <c r="T83" s="26">
        <f t="shared" ref="T83:AE83" si="70">+T81*T82</f>
        <v>70369.5</v>
      </c>
      <c r="U83" s="26">
        <f t="shared" si="70"/>
        <v>70369.5</v>
      </c>
      <c r="V83" s="26">
        <f t="shared" si="70"/>
        <v>70369.5</v>
      </c>
      <c r="W83" s="26">
        <f t="shared" si="70"/>
        <v>70369.5</v>
      </c>
      <c r="X83" s="26">
        <f t="shared" si="70"/>
        <v>70369.5</v>
      </c>
      <c r="Y83" s="26">
        <f t="shared" si="70"/>
        <v>70369.5</v>
      </c>
      <c r="Z83" s="26">
        <f t="shared" si="70"/>
        <v>70369.5</v>
      </c>
      <c r="AA83" s="26">
        <f t="shared" si="70"/>
        <v>70369.5</v>
      </c>
      <c r="AB83" s="26">
        <f t="shared" si="70"/>
        <v>70369.5</v>
      </c>
      <c r="AC83" s="26">
        <f t="shared" si="70"/>
        <v>70369.5</v>
      </c>
      <c r="AD83" s="26">
        <f t="shared" si="70"/>
        <v>70369.5</v>
      </c>
      <c r="AE83" s="26">
        <f t="shared" si="70"/>
        <v>70369.5</v>
      </c>
      <c r="AF83" s="26">
        <f>SUM(T83:AE83)</f>
        <v>844434</v>
      </c>
      <c r="AG83" s="24"/>
      <c r="AH83" s="24"/>
      <c r="AI83" s="24"/>
      <c r="AJ83" s="24"/>
      <c r="AK83" s="35" t="s">
        <v>29</v>
      </c>
      <c r="AL83" s="26">
        <f t="shared" ref="AL83:AW83" si="71">+AL81*AL82</f>
        <v>70369.5</v>
      </c>
      <c r="AM83" s="26">
        <f t="shared" si="71"/>
        <v>70369.5</v>
      </c>
      <c r="AN83" s="26">
        <f t="shared" si="71"/>
        <v>70369.5</v>
      </c>
      <c r="AO83" s="26">
        <f t="shared" si="71"/>
        <v>70369.5</v>
      </c>
      <c r="AP83" s="26">
        <f t="shared" si="71"/>
        <v>70369.5</v>
      </c>
      <c r="AQ83" s="26">
        <f t="shared" si="71"/>
        <v>70369.5</v>
      </c>
      <c r="AR83" s="26">
        <f t="shared" si="71"/>
        <v>70369.5</v>
      </c>
      <c r="AS83" s="26">
        <f t="shared" si="71"/>
        <v>70369.5</v>
      </c>
      <c r="AT83" s="26">
        <f t="shared" si="71"/>
        <v>70369.5</v>
      </c>
      <c r="AU83" s="26">
        <f t="shared" si="71"/>
        <v>70369.5</v>
      </c>
      <c r="AV83" s="26">
        <f t="shared" si="71"/>
        <v>70369.5</v>
      </c>
      <c r="AW83" s="26">
        <f t="shared" si="71"/>
        <v>70369.5</v>
      </c>
      <c r="AX83" s="26">
        <f>SUM(AL83:AW83)</f>
        <v>844434</v>
      </c>
      <c r="AY83" s="24"/>
      <c r="AZ83" s="24"/>
      <c r="BA83" s="24"/>
      <c r="BB83" s="24"/>
    </row>
    <row r="84" spans="1:54">
      <c r="A84" s="35" t="s">
        <v>789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35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35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</row>
    <row r="85" spans="1:54">
      <c r="A85" s="35" t="s">
        <v>30</v>
      </c>
      <c r="B85" s="289">
        <f>2473266+285000</f>
        <v>2758266</v>
      </c>
      <c r="C85" s="289">
        <f>2473266+285000</f>
        <v>2758266</v>
      </c>
      <c r="D85" s="289">
        <f>2473266+285000</f>
        <v>2758266</v>
      </c>
      <c r="E85" s="289">
        <f>2473266+285000</f>
        <v>2758266</v>
      </c>
      <c r="F85" s="289">
        <f t="shared" ref="F85:M85" si="72">2473266+285000</f>
        <v>2758266</v>
      </c>
      <c r="G85" s="289">
        <f t="shared" si="72"/>
        <v>2758266</v>
      </c>
      <c r="H85" s="289">
        <f t="shared" si="72"/>
        <v>2758266</v>
      </c>
      <c r="I85" s="289">
        <f t="shared" si="72"/>
        <v>2758266</v>
      </c>
      <c r="J85" s="289">
        <f t="shared" si="72"/>
        <v>2758266</v>
      </c>
      <c r="K85" s="289">
        <f t="shared" si="72"/>
        <v>2758266</v>
      </c>
      <c r="L85" s="289">
        <f t="shared" si="72"/>
        <v>2758266</v>
      </c>
      <c r="M85" s="289">
        <f t="shared" si="72"/>
        <v>2758266</v>
      </c>
      <c r="N85" s="289"/>
      <c r="O85" s="289"/>
      <c r="P85" s="289"/>
      <c r="Q85" s="289"/>
      <c r="R85" s="289"/>
      <c r="S85" s="35" t="s">
        <v>30</v>
      </c>
      <c r="T85" s="289">
        <f>2473266+285000</f>
        <v>2758266</v>
      </c>
      <c r="U85" s="289">
        <f>2473266+285000</f>
        <v>2758266</v>
      </c>
      <c r="V85" s="289">
        <f>2473266+285000</f>
        <v>2758266</v>
      </c>
      <c r="W85" s="289">
        <f>2473266+285000</f>
        <v>2758266</v>
      </c>
      <c r="X85" s="289">
        <f t="shared" ref="X85:AE85" si="73">2473266+285000</f>
        <v>2758266</v>
      </c>
      <c r="Y85" s="289">
        <f t="shared" si="73"/>
        <v>2758266</v>
      </c>
      <c r="Z85" s="289">
        <f t="shared" si="73"/>
        <v>2758266</v>
      </c>
      <c r="AA85" s="289">
        <f t="shared" si="73"/>
        <v>2758266</v>
      </c>
      <c r="AB85" s="289">
        <f t="shared" si="73"/>
        <v>2758266</v>
      </c>
      <c r="AC85" s="289">
        <f t="shared" si="73"/>
        <v>2758266</v>
      </c>
      <c r="AD85" s="289">
        <f t="shared" si="73"/>
        <v>2758266</v>
      </c>
      <c r="AE85" s="289">
        <f t="shared" si="73"/>
        <v>2758266</v>
      </c>
      <c r="AF85" s="289">
        <f>2473266+(5000*57)</f>
        <v>2758266</v>
      </c>
      <c r="AG85" s="289"/>
      <c r="AH85" s="289"/>
      <c r="AI85" s="289"/>
      <c r="AJ85" s="289"/>
      <c r="AK85" s="35" t="s">
        <v>30</v>
      </c>
      <c r="AL85" s="289">
        <f>2473266+285000</f>
        <v>2758266</v>
      </c>
      <c r="AM85" s="289">
        <f>2473266+285000</f>
        <v>2758266</v>
      </c>
      <c r="AN85" s="289">
        <f>2473266+285000</f>
        <v>2758266</v>
      </c>
      <c r="AO85" s="289">
        <f>2473266+285000</f>
        <v>2758266</v>
      </c>
      <c r="AP85" s="289">
        <f t="shared" ref="AP85:AW85" si="74">2473266+285000</f>
        <v>2758266</v>
      </c>
      <c r="AQ85" s="289">
        <f t="shared" si="74"/>
        <v>2758266</v>
      </c>
      <c r="AR85" s="289">
        <f t="shared" si="74"/>
        <v>2758266</v>
      </c>
      <c r="AS85" s="289">
        <f t="shared" si="74"/>
        <v>2758266</v>
      </c>
      <c r="AT85" s="289">
        <f t="shared" si="74"/>
        <v>2758266</v>
      </c>
      <c r="AU85" s="289">
        <f t="shared" si="74"/>
        <v>2758266</v>
      </c>
      <c r="AV85" s="289">
        <f t="shared" si="74"/>
        <v>2758266</v>
      </c>
      <c r="AW85" s="289">
        <f t="shared" si="74"/>
        <v>2758266</v>
      </c>
      <c r="AX85" s="289">
        <f>2473266+(5000*57)</f>
        <v>2758266</v>
      </c>
      <c r="AY85" s="289"/>
      <c r="AZ85" s="289"/>
      <c r="BA85" s="289"/>
      <c r="BB85" s="289"/>
    </row>
    <row r="86" spans="1:54">
      <c r="A86" s="35" t="s">
        <v>28</v>
      </c>
      <c r="B86" s="403">
        <v>2.8899999999999999E-2</v>
      </c>
      <c r="C86" s="403">
        <v>2.8899999999999999E-2</v>
      </c>
      <c r="D86" s="403">
        <v>2.8899999999999999E-2</v>
      </c>
      <c r="E86" s="403">
        <v>2.8899999999999999E-2</v>
      </c>
      <c r="F86" s="403">
        <v>2.8899999999999999E-2</v>
      </c>
      <c r="G86" s="403">
        <v>2.8899999999999999E-2</v>
      </c>
      <c r="H86" s="403">
        <v>2.8899999999999999E-2</v>
      </c>
      <c r="I86" s="403">
        <v>2.8899999999999999E-2</v>
      </c>
      <c r="J86" s="403">
        <v>2.8899999999999999E-2</v>
      </c>
      <c r="K86" s="403">
        <v>2.8899999999999999E-2</v>
      </c>
      <c r="L86" s="403">
        <v>2.8899999999999999E-2</v>
      </c>
      <c r="M86" s="403">
        <v>2.8899999999999999E-2</v>
      </c>
      <c r="N86" s="21"/>
      <c r="O86" s="21"/>
      <c r="P86" s="21"/>
      <c r="Q86" s="21"/>
      <c r="R86" s="21"/>
      <c r="S86" s="35" t="s">
        <v>28</v>
      </c>
      <c r="T86" s="21">
        <v>0.03</v>
      </c>
      <c r="U86" s="21">
        <v>0.03</v>
      </c>
      <c r="V86" s="21">
        <v>0.03</v>
      </c>
      <c r="W86" s="21">
        <v>0.03</v>
      </c>
      <c r="X86" s="21">
        <v>0.03</v>
      </c>
      <c r="Y86" s="21">
        <v>0.03</v>
      </c>
      <c r="Z86" s="21">
        <v>0.03</v>
      </c>
      <c r="AA86" s="21">
        <v>0.03</v>
      </c>
      <c r="AB86" s="21">
        <v>0.03</v>
      </c>
      <c r="AC86" s="21">
        <v>0.03</v>
      </c>
      <c r="AD86" s="21">
        <v>0.03</v>
      </c>
      <c r="AE86" s="21">
        <v>0.03</v>
      </c>
      <c r="AF86" s="21">
        <v>2.5000000000000001E-2</v>
      </c>
      <c r="AG86" s="21"/>
      <c r="AH86" s="21"/>
      <c r="AI86" s="21"/>
      <c r="AJ86" s="21"/>
      <c r="AK86" s="35" t="s">
        <v>28</v>
      </c>
      <c r="AL86" s="21">
        <v>0.03</v>
      </c>
      <c r="AM86" s="21">
        <v>0.03</v>
      </c>
      <c r="AN86" s="21">
        <v>0.03</v>
      </c>
      <c r="AO86" s="21">
        <v>0.03</v>
      </c>
      <c r="AP86" s="21">
        <v>0.03</v>
      </c>
      <c r="AQ86" s="21">
        <v>0.03</v>
      </c>
      <c r="AR86" s="21">
        <v>0.03</v>
      </c>
      <c r="AS86" s="21">
        <v>0.03</v>
      </c>
      <c r="AT86" s="21">
        <v>0.03</v>
      </c>
      <c r="AU86" s="21">
        <v>0.03</v>
      </c>
      <c r="AV86" s="21">
        <v>0.03</v>
      </c>
      <c r="AW86" s="21">
        <v>0.03</v>
      </c>
      <c r="AX86" s="21">
        <v>2.5000000000000001E-2</v>
      </c>
      <c r="AY86" s="21"/>
      <c r="AZ86" s="21"/>
      <c r="BA86" s="21"/>
      <c r="BB86" s="21"/>
    </row>
    <row r="87" spans="1:54">
      <c r="A87" s="35" t="s">
        <v>29</v>
      </c>
      <c r="B87" s="26">
        <f t="shared" ref="B87:M87" si="75">+B85*B86</f>
        <v>79713.887399999992</v>
      </c>
      <c r="C87" s="26">
        <f t="shared" si="75"/>
        <v>79713.887399999992</v>
      </c>
      <c r="D87" s="26">
        <f t="shared" si="75"/>
        <v>79713.887399999992</v>
      </c>
      <c r="E87" s="26">
        <f t="shared" si="75"/>
        <v>79713.887399999992</v>
      </c>
      <c r="F87" s="26">
        <f t="shared" si="75"/>
        <v>79713.887399999992</v>
      </c>
      <c r="G87" s="26">
        <f t="shared" si="75"/>
        <v>79713.887399999992</v>
      </c>
      <c r="H87" s="26">
        <f t="shared" si="75"/>
        <v>79713.887399999992</v>
      </c>
      <c r="I87" s="26">
        <f t="shared" si="75"/>
        <v>79713.887399999992</v>
      </c>
      <c r="J87" s="26">
        <f t="shared" si="75"/>
        <v>79713.887399999992</v>
      </c>
      <c r="K87" s="26">
        <f t="shared" si="75"/>
        <v>79713.887399999992</v>
      </c>
      <c r="L87" s="26">
        <f t="shared" si="75"/>
        <v>79713.887399999992</v>
      </c>
      <c r="M87" s="26">
        <f t="shared" si="75"/>
        <v>79713.887399999992</v>
      </c>
      <c r="N87" s="26">
        <f>SUM(B87:M87)</f>
        <v>956566.64879999997</v>
      </c>
      <c r="O87" s="24"/>
      <c r="P87" s="24"/>
      <c r="Q87" s="24"/>
      <c r="R87" s="24"/>
      <c r="S87" s="35" t="s">
        <v>29</v>
      </c>
      <c r="T87" s="26">
        <f t="shared" ref="T87:AE87" si="76">+T85*T86</f>
        <v>82747.98</v>
      </c>
      <c r="U87" s="26">
        <f t="shared" si="76"/>
        <v>82747.98</v>
      </c>
      <c r="V87" s="26">
        <f t="shared" si="76"/>
        <v>82747.98</v>
      </c>
      <c r="W87" s="26">
        <f t="shared" si="76"/>
        <v>82747.98</v>
      </c>
      <c r="X87" s="26">
        <f t="shared" si="76"/>
        <v>82747.98</v>
      </c>
      <c r="Y87" s="26">
        <f t="shared" si="76"/>
        <v>82747.98</v>
      </c>
      <c r="Z87" s="26">
        <f t="shared" si="76"/>
        <v>82747.98</v>
      </c>
      <c r="AA87" s="26">
        <f t="shared" si="76"/>
        <v>82747.98</v>
      </c>
      <c r="AB87" s="26">
        <f t="shared" si="76"/>
        <v>82747.98</v>
      </c>
      <c r="AC87" s="26">
        <f t="shared" si="76"/>
        <v>82747.98</v>
      </c>
      <c r="AD87" s="26">
        <f t="shared" si="76"/>
        <v>82747.98</v>
      </c>
      <c r="AE87" s="26">
        <f t="shared" si="76"/>
        <v>82747.98</v>
      </c>
      <c r="AF87" s="26">
        <f>SUM(T87:AE87)</f>
        <v>992975.75999999989</v>
      </c>
      <c r="AG87" s="24"/>
      <c r="AH87" s="24"/>
      <c r="AI87" s="24"/>
      <c r="AJ87" s="24"/>
      <c r="AK87" s="35" t="s">
        <v>29</v>
      </c>
      <c r="AL87" s="26">
        <f t="shared" ref="AL87:AW87" si="77">+AL85*AL86</f>
        <v>82747.98</v>
      </c>
      <c r="AM87" s="26">
        <f t="shared" si="77"/>
        <v>82747.98</v>
      </c>
      <c r="AN87" s="26">
        <f t="shared" si="77"/>
        <v>82747.98</v>
      </c>
      <c r="AO87" s="26">
        <f t="shared" si="77"/>
        <v>82747.98</v>
      </c>
      <c r="AP87" s="26">
        <f t="shared" si="77"/>
        <v>82747.98</v>
      </c>
      <c r="AQ87" s="26">
        <f t="shared" si="77"/>
        <v>82747.98</v>
      </c>
      <c r="AR87" s="26">
        <f t="shared" si="77"/>
        <v>82747.98</v>
      </c>
      <c r="AS87" s="26">
        <f t="shared" si="77"/>
        <v>82747.98</v>
      </c>
      <c r="AT87" s="26">
        <f t="shared" si="77"/>
        <v>82747.98</v>
      </c>
      <c r="AU87" s="26">
        <f t="shared" si="77"/>
        <v>82747.98</v>
      </c>
      <c r="AV87" s="26">
        <f t="shared" si="77"/>
        <v>82747.98</v>
      </c>
      <c r="AW87" s="26">
        <f t="shared" si="77"/>
        <v>82747.98</v>
      </c>
      <c r="AX87" s="26">
        <f>SUM(AL87:AW87)</f>
        <v>992975.75999999989</v>
      </c>
      <c r="AY87" s="24"/>
      <c r="AZ87" s="24"/>
      <c r="BA87" s="24"/>
      <c r="BB87" s="24"/>
    </row>
    <row r="88" spans="1:54">
      <c r="A88" s="35" t="s">
        <v>790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4"/>
      <c r="P88" s="24"/>
      <c r="Q88" s="24"/>
      <c r="R88" s="24"/>
      <c r="S88" s="35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4"/>
      <c r="AH88" s="24"/>
      <c r="AI88" s="24"/>
      <c r="AJ88" s="24"/>
      <c r="AK88" s="35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4"/>
      <c r="AZ88" s="24"/>
      <c r="BA88" s="24"/>
      <c r="BB88" s="24"/>
    </row>
    <row r="89" spans="1:54" ht="21" thickBot="1">
      <c r="A89" s="351" t="s">
        <v>31</v>
      </c>
      <c r="B89" s="40">
        <f>SUM(B75,B79,B83,B87)</f>
        <v>234018.34669999999</v>
      </c>
      <c r="C89" s="40">
        <f>SUM(C75,C79,C83,C87)</f>
        <v>234018.34669999999</v>
      </c>
      <c r="D89" s="40">
        <f t="shared" ref="D89:M89" si="78">SUM(D75,D79,D83,D87)</f>
        <v>234018.34669999999</v>
      </c>
      <c r="E89" s="40">
        <f t="shared" si="78"/>
        <v>234018.34669999999</v>
      </c>
      <c r="F89" s="40">
        <f t="shared" si="78"/>
        <v>234386.6041</v>
      </c>
      <c r="G89" s="40">
        <f t="shared" si="78"/>
        <v>234386.6041</v>
      </c>
      <c r="H89" s="40">
        <f t="shared" si="78"/>
        <v>234386.6041</v>
      </c>
      <c r="I89" s="40">
        <f t="shared" si="78"/>
        <v>234339.6911</v>
      </c>
      <c r="J89" s="40">
        <f t="shared" si="78"/>
        <v>234339.6911</v>
      </c>
      <c r="K89" s="40">
        <f t="shared" si="78"/>
        <v>234339.6911</v>
      </c>
      <c r="L89" s="40">
        <f t="shared" si="78"/>
        <v>234339.6911</v>
      </c>
      <c r="M89" s="40">
        <f t="shared" si="78"/>
        <v>234339.6911</v>
      </c>
      <c r="N89" s="40">
        <f>SUM(B89:M89)</f>
        <v>2810931.6546</v>
      </c>
      <c r="O89" s="39"/>
      <c r="P89" s="28"/>
      <c r="Q89" s="17"/>
      <c r="R89" s="17"/>
      <c r="S89" s="351" t="s">
        <v>31</v>
      </c>
      <c r="T89" s="40">
        <f>SUM(T75,T79,T83,T87)</f>
        <v>238354.76499999996</v>
      </c>
      <c r="U89" s="40">
        <f>SUM(U75,U79,U83,U87)</f>
        <v>238354.76499999996</v>
      </c>
      <c r="V89" s="40">
        <f t="shared" ref="V89:AE89" si="79">SUM(V75,V79,V83,V87)</f>
        <v>238354.76499999996</v>
      </c>
      <c r="W89" s="40">
        <f t="shared" si="79"/>
        <v>238354.76499999996</v>
      </c>
      <c r="X89" s="40">
        <f t="shared" si="79"/>
        <v>238354.76499999996</v>
      </c>
      <c r="Y89" s="40">
        <f t="shared" si="79"/>
        <v>238354.76499999996</v>
      </c>
      <c r="Z89" s="40">
        <f t="shared" si="79"/>
        <v>238354.76499999996</v>
      </c>
      <c r="AA89" s="40">
        <f t="shared" si="79"/>
        <v>238354.76499999996</v>
      </c>
      <c r="AB89" s="40">
        <f t="shared" si="79"/>
        <v>238354.76499999996</v>
      </c>
      <c r="AC89" s="40">
        <f t="shared" si="79"/>
        <v>238354.76499999996</v>
      </c>
      <c r="AD89" s="40">
        <f t="shared" si="79"/>
        <v>238354.76499999996</v>
      </c>
      <c r="AE89" s="40">
        <f t="shared" si="79"/>
        <v>238354.76499999996</v>
      </c>
      <c r="AF89" s="40">
        <f>SUM(T89:AE89)</f>
        <v>2860257.1799999997</v>
      </c>
      <c r="AG89" s="39"/>
      <c r="AH89" s="28"/>
      <c r="AI89" s="17"/>
      <c r="AJ89" s="17"/>
      <c r="AK89" s="351" t="s">
        <v>31</v>
      </c>
      <c r="AL89" s="40">
        <f>SUM(AL75,AL79,AL83,AL87)</f>
        <v>238354.76499999996</v>
      </c>
      <c r="AM89" s="40">
        <f>SUM(AM75,AM79,AM83,AM87)</f>
        <v>238354.76499999996</v>
      </c>
      <c r="AN89" s="40">
        <f t="shared" ref="AN89:AW89" si="80">SUM(AN75,AN79,AN83,AN87)</f>
        <v>238354.76499999996</v>
      </c>
      <c r="AO89" s="40">
        <f t="shared" si="80"/>
        <v>238354.76499999996</v>
      </c>
      <c r="AP89" s="40">
        <f t="shared" si="80"/>
        <v>238354.76499999996</v>
      </c>
      <c r="AQ89" s="40">
        <f t="shared" si="80"/>
        <v>238354.76499999996</v>
      </c>
      <c r="AR89" s="40">
        <f t="shared" si="80"/>
        <v>238354.76499999996</v>
      </c>
      <c r="AS89" s="40">
        <f t="shared" si="80"/>
        <v>238354.76499999996</v>
      </c>
      <c r="AT89" s="40">
        <f t="shared" si="80"/>
        <v>238354.76499999996</v>
      </c>
      <c r="AU89" s="40">
        <f t="shared" si="80"/>
        <v>238354.76499999996</v>
      </c>
      <c r="AV89" s="40">
        <f t="shared" si="80"/>
        <v>238354.76499999996</v>
      </c>
      <c r="AW89" s="40">
        <f t="shared" si="80"/>
        <v>238354.76499999996</v>
      </c>
      <c r="AX89" s="40">
        <f>SUM(AL89:AW89)</f>
        <v>2860257.1799999997</v>
      </c>
      <c r="AY89" s="39"/>
      <c r="AZ89" s="28"/>
      <c r="BA89" s="17"/>
      <c r="BB89" s="17"/>
    </row>
    <row r="90" spans="1:54" ht="21" thickTop="1">
      <c r="A90" s="353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24"/>
      <c r="P90" s="24"/>
      <c r="Q90" s="24"/>
      <c r="R90" s="24"/>
      <c r="S90" s="353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24"/>
      <c r="AH90" s="24"/>
      <c r="AI90" s="24"/>
      <c r="AJ90" s="24"/>
      <c r="AK90" s="353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24"/>
      <c r="AZ90" s="24"/>
      <c r="BA90" s="24"/>
      <c r="BB90" s="24"/>
    </row>
    <row r="91" spans="1:54">
      <c r="A91" s="170" t="s">
        <v>32</v>
      </c>
      <c r="B91" s="26">
        <f t="shared" ref="B91:M91" si="81">SUM(B55,B59,B63,B75,B79)</f>
        <v>229325.48129999998</v>
      </c>
      <c r="C91" s="26">
        <f t="shared" si="81"/>
        <v>229325.48129999998</v>
      </c>
      <c r="D91" s="26">
        <f t="shared" si="81"/>
        <v>229325.48129999998</v>
      </c>
      <c r="E91" s="26">
        <f t="shared" si="81"/>
        <v>229325.48129999998</v>
      </c>
      <c r="F91" s="26">
        <f t="shared" si="81"/>
        <v>276071.63370000001</v>
      </c>
      <c r="G91" s="26">
        <f t="shared" si="81"/>
        <v>276071.63370000001</v>
      </c>
      <c r="H91" s="26">
        <f t="shared" si="81"/>
        <v>276071.63370000001</v>
      </c>
      <c r="I91" s="26">
        <f t="shared" si="81"/>
        <v>276071.63370000001</v>
      </c>
      <c r="J91" s="26">
        <f t="shared" si="81"/>
        <v>276071.63370000001</v>
      </c>
      <c r="K91" s="26">
        <f t="shared" si="81"/>
        <v>228921.73869999999</v>
      </c>
      <c r="L91" s="26">
        <f t="shared" si="81"/>
        <v>228921.73869999999</v>
      </c>
      <c r="M91" s="26">
        <f t="shared" si="81"/>
        <v>228921.73869999999</v>
      </c>
      <c r="N91" s="26">
        <f>SUM(B91:M91)</f>
        <v>2984425.3098000009</v>
      </c>
      <c r="O91" s="39">
        <f>N91/12</f>
        <v>248702.10915000006</v>
      </c>
      <c r="P91" s="28">
        <v>30946</v>
      </c>
      <c r="Q91" s="197">
        <f>O91/P91</f>
        <v>8.0366480045886401</v>
      </c>
      <c r="R91" s="197">
        <f>(Q91*1.04)/(1-0.025)</f>
        <v>8.5724245382278834</v>
      </c>
      <c r="S91" s="170" t="s">
        <v>32</v>
      </c>
      <c r="T91" s="26">
        <f t="shared" ref="T91:AE91" si="82">SUM(T55,T59,T63,T75,T79)</f>
        <v>233237.285</v>
      </c>
      <c r="U91" s="26">
        <f t="shared" si="82"/>
        <v>233237.285</v>
      </c>
      <c r="V91" s="26">
        <f t="shared" si="82"/>
        <v>233237.285</v>
      </c>
      <c r="W91" s="26">
        <f t="shared" si="82"/>
        <v>233237.285</v>
      </c>
      <c r="X91" s="26">
        <f t="shared" si="82"/>
        <v>281399.685</v>
      </c>
      <c r="Y91" s="26">
        <f t="shared" si="82"/>
        <v>281399.685</v>
      </c>
      <c r="Z91" s="26">
        <f t="shared" si="82"/>
        <v>281399.685</v>
      </c>
      <c r="AA91" s="26">
        <f t="shared" si="82"/>
        <v>281399.685</v>
      </c>
      <c r="AB91" s="26">
        <f t="shared" si="82"/>
        <v>281399.685</v>
      </c>
      <c r="AC91" s="26">
        <f t="shared" si="82"/>
        <v>233237.285</v>
      </c>
      <c r="AD91" s="26">
        <f t="shared" si="82"/>
        <v>233237.285</v>
      </c>
      <c r="AE91" s="26">
        <f t="shared" si="82"/>
        <v>233237.285</v>
      </c>
      <c r="AF91" s="26">
        <f>SUM(T91:AE91)</f>
        <v>3039659.4200000004</v>
      </c>
      <c r="AG91" s="39">
        <f>AF91/12</f>
        <v>253304.95166666669</v>
      </c>
      <c r="AH91" s="28">
        <v>30946</v>
      </c>
      <c r="AI91" s="17">
        <f>AG91/AH91</f>
        <v>8.1853858872444487</v>
      </c>
      <c r="AJ91" s="197">
        <f>(AI91*1.04)/(1-0.025)</f>
        <v>8.7310782797274111</v>
      </c>
      <c r="AK91" s="170" t="s">
        <v>32</v>
      </c>
      <c r="AL91" s="26">
        <f t="shared" ref="AL91:AW91" si="83">SUM(AL55,AL59,AL63,AL75,AL79)</f>
        <v>233237.285</v>
      </c>
      <c r="AM91" s="26">
        <f t="shared" si="83"/>
        <v>233237.285</v>
      </c>
      <c r="AN91" s="26">
        <f t="shared" si="83"/>
        <v>233237.285</v>
      </c>
      <c r="AO91" s="26">
        <f t="shared" si="83"/>
        <v>233237.285</v>
      </c>
      <c r="AP91" s="26">
        <f t="shared" si="83"/>
        <v>281399.685</v>
      </c>
      <c r="AQ91" s="26">
        <f t="shared" si="83"/>
        <v>281399.685</v>
      </c>
      <c r="AR91" s="26">
        <f t="shared" si="83"/>
        <v>281399.685</v>
      </c>
      <c r="AS91" s="26">
        <f t="shared" si="83"/>
        <v>281399.685</v>
      </c>
      <c r="AT91" s="26">
        <f t="shared" si="83"/>
        <v>281399.685</v>
      </c>
      <c r="AU91" s="26">
        <f t="shared" si="83"/>
        <v>233237.285</v>
      </c>
      <c r="AV91" s="26">
        <f t="shared" si="83"/>
        <v>233237.285</v>
      </c>
      <c r="AW91" s="26">
        <f t="shared" si="83"/>
        <v>233237.285</v>
      </c>
      <c r="AX91" s="26">
        <f>SUM(AL91:AW91)</f>
        <v>3039659.4200000004</v>
      </c>
      <c r="AY91" s="39">
        <f>AX91/12</f>
        <v>253304.95166666669</v>
      </c>
      <c r="AZ91" s="28">
        <v>30946</v>
      </c>
      <c r="BA91" s="17">
        <f>AY91/AZ91</f>
        <v>8.1853858872444487</v>
      </c>
      <c r="BB91" s="197">
        <f>(BA91*1.04)/(1-0.025)</f>
        <v>8.7310782797274111</v>
      </c>
    </row>
    <row r="92" spans="1:54">
      <c r="A92" s="35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4"/>
      <c r="P92" s="24"/>
      <c r="Q92" s="24"/>
      <c r="R92" s="24"/>
      <c r="S92" s="35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4"/>
      <c r="AH92" s="24"/>
      <c r="AI92" s="24"/>
      <c r="AJ92" s="24"/>
      <c r="AK92" s="35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4"/>
      <c r="AZ92" s="24"/>
      <c r="BA92" s="24"/>
      <c r="BB92" s="24"/>
    </row>
    <row r="93" spans="1:54">
      <c r="A93" s="170" t="s">
        <v>33</v>
      </c>
      <c r="B93" s="26">
        <f>SUM(B67,B83,B87)</f>
        <v>288875.49790000002</v>
      </c>
      <c r="C93" s="26">
        <f t="shared" ref="C93:M93" si="84">SUM(C67,C83,C87)</f>
        <v>288875.49790000002</v>
      </c>
      <c r="D93" s="26">
        <f t="shared" si="84"/>
        <v>288875.49790000002</v>
      </c>
      <c r="E93" s="26">
        <f t="shared" si="84"/>
        <v>427386.13040000002</v>
      </c>
      <c r="F93" s="26">
        <f t="shared" si="84"/>
        <v>427386.13040000002</v>
      </c>
      <c r="G93" s="26">
        <f t="shared" si="84"/>
        <v>427386.13040000002</v>
      </c>
      <c r="H93" s="26">
        <f t="shared" si="84"/>
        <v>427386.13040000002</v>
      </c>
      <c r="I93" s="26">
        <f t="shared" si="84"/>
        <v>427057.73940000002</v>
      </c>
      <c r="J93" s="26">
        <f t="shared" si="84"/>
        <v>427057.73940000002</v>
      </c>
      <c r="K93" s="26">
        <f t="shared" si="84"/>
        <v>287116.26039999997</v>
      </c>
      <c r="L93" s="26">
        <f t="shared" si="84"/>
        <v>287116.26039999997</v>
      </c>
      <c r="M93" s="26">
        <f t="shared" si="84"/>
        <v>287116.26039999997</v>
      </c>
      <c r="N93" s="26">
        <f>SUM(B93:M93)</f>
        <v>4291635.2752999999</v>
      </c>
      <c r="O93" s="39">
        <f>N93/12</f>
        <v>357636.27294166666</v>
      </c>
      <c r="P93" s="28">
        <v>46913</v>
      </c>
      <c r="Q93" s="197">
        <f>O93/P93</f>
        <v>7.6233937915218952</v>
      </c>
      <c r="R93" s="197">
        <f>(Q93*1.04)/(1-0.025)</f>
        <v>8.1316200442900222</v>
      </c>
      <c r="S93" s="170" t="s">
        <v>33</v>
      </c>
      <c r="T93" s="26">
        <f>SUM(T67,T83,T87)</f>
        <v>289165.18</v>
      </c>
      <c r="U93" s="26">
        <f t="shared" ref="U93:AE93" si="85">SUM(U67,U83,U87)</f>
        <v>289165.18</v>
      </c>
      <c r="V93" s="26">
        <f t="shared" si="85"/>
        <v>289165.18</v>
      </c>
      <c r="W93" s="26">
        <f t="shared" si="85"/>
        <v>425212.87999999995</v>
      </c>
      <c r="X93" s="26">
        <f t="shared" si="85"/>
        <v>425212.87999999995</v>
      </c>
      <c r="Y93" s="26">
        <f t="shared" si="85"/>
        <v>425212.87999999995</v>
      </c>
      <c r="Z93" s="26">
        <f t="shared" si="85"/>
        <v>425212.87999999995</v>
      </c>
      <c r="AA93" s="26">
        <f t="shared" si="85"/>
        <v>425212.87999999995</v>
      </c>
      <c r="AB93" s="26">
        <f t="shared" si="85"/>
        <v>425212.87999999995</v>
      </c>
      <c r="AC93" s="26">
        <f t="shared" si="85"/>
        <v>289165.18</v>
      </c>
      <c r="AD93" s="26">
        <f t="shared" si="85"/>
        <v>289165.18</v>
      </c>
      <c r="AE93" s="26">
        <f t="shared" si="85"/>
        <v>289165.18</v>
      </c>
      <c r="AF93" s="26">
        <f>SUM(T93:AE93)</f>
        <v>4286268.3599999994</v>
      </c>
      <c r="AG93" s="39">
        <f>AF93/12</f>
        <v>357189.02999999997</v>
      </c>
      <c r="AH93" s="28">
        <v>46913</v>
      </c>
      <c r="AI93" s="17">
        <f>AG93/AH93</f>
        <v>7.6138603372199594</v>
      </c>
      <c r="AJ93" s="197">
        <f>(AI93*1.04)/(1-0.025)</f>
        <v>8.1214510263679571</v>
      </c>
      <c r="AK93" s="170" t="s">
        <v>33</v>
      </c>
      <c r="AL93" s="26">
        <f>SUM(AL67,AL83,AL87)</f>
        <v>289165.18</v>
      </c>
      <c r="AM93" s="26">
        <f t="shared" ref="AM93:AW93" si="86">SUM(AM67,AM83,AM87)</f>
        <v>289165.18</v>
      </c>
      <c r="AN93" s="26">
        <f t="shared" si="86"/>
        <v>289165.18</v>
      </c>
      <c r="AO93" s="26">
        <f t="shared" si="86"/>
        <v>425212.87999999995</v>
      </c>
      <c r="AP93" s="26">
        <f t="shared" si="86"/>
        <v>425212.87999999995</v>
      </c>
      <c r="AQ93" s="26">
        <f t="shared" si="86"/>
        <v>425212.87999999995</v>
      </c>
      <c r="AR93" s="26">
        <f t="shared" si="86"/>
        <v>425212.87999999995</v>
      </c>
      <c r="AS93" s="26">
        <f t="shared" si="86"/>
        <v>425212.87999999995</v>
      </c>
      <c r="AT93" s="26">
        <f t="shared" si="86"/>
        <v>425212.87999999995</v>
      </c>
      <c r="AU93" s="26">
        <f t="shared" si="86"/>
        <v>289165.18</v>
      </c>
      <c r="AV93" s="26">
        <f t="shared" si="86"/>
        <v>289165.18</v>
      </c>
      <c r="AW93" s="26">
        <f t="shared" si="86"/>
        <v>289165.18</v>
      </c>
      <c r="AX93" s="26">
        <f>SUM(AL93:AW93)</f>
        <v>4286268.3599999994</v>
      </c>
      <c r="AY93" s="39">
        <f>AX93/12</f>
        <v>357189.02999999997</v>
      </c>
      <c r="AZ93" s="28">
        <v>46913</v>
      </c>
      <c r="BA93" s="17">
        <f>AY93/AZ93</f>
        <v>7.6138603372199594</v>
      </c>
      <c r="BB93" s="197">
        <f>(BA93*1.04)/(1-0.025)</f>
        <v>8.1214510263679571</v>
      </c>
    </row>
    <row r="94" spans="1:54">
      <c r="A94" s="353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24"/>
      <c r="P94" s="24"/>
      <c r="Q94" s="24"/>
      <c r="R94" s="24"/>
      <c r="S94" s="353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24"/>
      <c r="AH94" s="24"/>
      <c r="AI94" s="24"/>
      <c r="AJ94" s="24"/>
      <c r="AK94" s="353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24"/>
      <c r="AZ94" s="24"/>
      <c r="BA94" s="24"/>
      <c r="BB94" s="24"/>
    </row>
    <row r="95" spans="1:54">
      <c r="A95" s="353" t="s">
        <v>34</v>
      </c>
      <c r="B95" s="41">
        <f>SUM(B91,B93)</f>
        <v>518200.9792</v>
      </c>
      <c r="C95" s="41">
        <f>SUM(C91,C93)</f>
        <v>518200.9792</v>
      </c>
      <c r="D95" s="41">
        <f t="shared" ref="D95:M95" si="87">SUM(D91,D93)</f>
        <v>518200.9792</v>
      </c>
      <c r="E95" s="41">
        <f t="shared" si="87"/>
        <v>656711.61170000001</v>
      </c>
      <c r="F95" s="41">
        <f t="shared" si="87"/>
        <v>703457.76410000003</v>
      </c>
      <c r="G95" s="41">
        <f t="shared" si="87"/>
        <v>703457.76410000003</v>
      </c>
      <c r="H95" s="41">
        <f t="shared" si="87"/>
        <v>703457.76410000003</v>
      </c>
      <c r="I95" s="41">
        <f t="shared" si="87"/>
        <v>703129.37309999997</v>
      </c>
      <c r="J95" s="41">
        <f t="shared" si="87"/>
        <v>703129.37309999997</v>
      </c>
      <c r="K95" s="41">
        <f t="shared" si="87"/>
        <v>516037.99909999996</v>
      </c>
      <c r="L95" s="41">
        <f t="shared" si="87"/>
        <v>516037.99909999996</v>
      </c>
      <c r="M95" s="41">
        <f t="shared" si="87"/>
        <v>516037.99909999996</v>
      </c>
      <c r="N95" s="26">
        <f>SUM(B95:M95)</f>
        <v>7276060.5850999989</v>
      </c>
      <c r="O95" s="39">
        <f>N95/12</f>
        <v>606338.38209166657</v>
      </c>
      <c r="P95" s="28">
        <f>SUM(P91,P93)</f>
        <v>77859</v>
      </c>
      <c r="Q95" s="197">
        <f>O95/P95</f>
        <v>7.7876466701558789</v>
      </c>
      <c r="R95" s="197">
        <f>(Q95*1.04)/(1-0.025)</f>
        <v>8.3068231148329374</v>
      </c>
      <c r="S95" s="353" t="s">
        <v>34</v>
      </c>
      <c r="T95" s="41">
        <f>SUM(T91,T93)</f>
        <v>522402.46499999997</v>
      </c>
      <c r="U95" s="41">
        <f>SUM(U91,U93)</f>
        <v>522402.46499999997</v>
      </c>
      <c r="V95" s="41">
        <f t="shared" ref="V95:AE95" si="88">SUM(V91,V93)</f>
        <v>522402.46499999997</v>
      </c>
      <c r="W95" s="41">
        <f t="shared" si="88"/>
        <v>658450.16499999992</v>
      </c>
      <c r="X95" s="41">
        <f t="shared" si="88"/>
        <v>706612.56499999994</v>
      </c>
      <c r="Y95" s="41">
        <f t="shared" si="88"/>
        <v>706612.56499999994</v>
      </c>
      <c r="Z95" s="41">
        <f t="shared" si="88"/>
        <v>706612.56499999994</v>
      </c>
      <c r="AA95" s="41">
        <f t="shared" si="88"/>
        <v>706612.56499999994</v>
      </c>
      <c r="AB95" s="41">
        <f t="shared" si="88"/>
        <v>706612.56499999994</v>
      </c>
      <c r="AC95" s="41">
        <f t="shared" si="88"/>
        <v>522402.46499999997</v>
      </c>
      <c r="AD95" s="41">
        <f t="shared" si="88"/>
        <v>522402.46499999997</v>
      </c>
      <c r="AE95" s="41">
        <f t="shared" si="88"/>
        <v>522402.46499999997</v>
      </c>
      <c r="AF95" s="26">
        <f>SUM(T95:AE95)</f>
        <v>7325927.7799999993</v>
      </c>
      <c r="AG95" s="39">
        <f>AF95/12</f>
        <v>610493.98166666657</v>
      </c>
      <c r="AH95" s="28">
        <f>AH91+AH93</f>
        <v>77859</v>
      </c>
      <c r="AI95" s="17">
        <f>AG95/AH95</f>
        <v>7.8410200704692663</v>
      </c>
      <c r="AJ95" s="197">
        <f>(AI95*1.04)/(1-0.025)</f>
        <v>8.3637547418338851</v>
      </c>
      <c r="AK95" s="353" t="s">
        <v>34</v>
      </c>
      <c r="AL95" s="41">
        <f>SUM(AL91,AL93)</f>
        <v>522402.46499999997</v>
      </c>
      <c r="AM95" s="41">
        <f>SUM(AM91,AM93)</f>
        <v>522402.46499999997</v>
      </c>
      <c r="AN95" s="41">
        <f t="shared" ref="AN95:AW95" si="89">SUM(AN91,AN93)</f>
        <v>522402.46499999997</v>
      </c>
      <c r="AO95" s="41">
        <f t="shared" si="89"/>
        <v>658450.16499999992</v>
      </c>
      <c r="AP95" s="41">
        <f t="shared" si="89"/>
        <v>706612.56499999994</v>
      </c>
      <c r="AQ95" s="41">
        <f t="shared" si="89"/>
        <v>706612.56499999994</v>
      </c>
      <c r="AR95" s="41">
        <f t="shared" si="89"/>
        <v>706612.56499999994</v>
      </c>
      <c r="AS95" s="41">
        <f t="shared" si="89"/>
        <v>706612.56499999994</v>
      </c>
      <c r="AT95" s="41">
        <f t="shared" si="89"/>
        <v>706612.56499999994</v>
      </c>
      <c r="AU95" s="41">
        <f t="shared" si="89"/>
        <v>522402.46499999997</v>
      </c>
      <c r="AV95" s="41">
        <f t="shared" si="89"/>
        <v>522402.46499999997</v>
      </c>
      <c r="AW95" s="41">
        <f t="shared" si="89"/>
        <v>522402.46499999997</v>
      </c>
      <c r="AX95" s="26">
        <f>SUM(AL95:AW95)</f>
        <v>7325927.7799999993</v>
      </c>
      <c r="AY95" s="39">
        <f>AX95/12</f>
        <v>610493.98166666657</v>
      </c>
      <c r="AZ95" s="28">
        <f>AZ91+AZ93</f>
        <v>77859</v>
      </c>
      <c r="BA95" s="17">
        <f>AY95/AZ95</f>
        <v>7.8410200704692663</v>
      </c>
      <c r="BB95" s="197">
        <f>(BA95*1.04)/(1-0.025)</f>
        <v>8.3637547418338851</v>
      </c>
    </row>
    <row r="96" spans="1:54"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</row>
    <row r="97" spans="1:54">
      <c r="A97" s="349" t="s">
        <v>35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349" t="s">
        <v>35</v>
      </c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349" t="s">
        <v>35</v>
      </c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</row>
    <row r="98" spans="1:54">
      <c r="A98" s="35" t="s">
        <v>36</v>
      </c>
      <c r="B98" s="28">
        <v>35800</v>
      </c>
      <c r="C98" s="28">
        <v>35800</v>
      </c>
      <c r="D98" s="28">
        <v>35800</v>
      </c>
      <c r="E98" s="28">
        <v>35800</v>
      </c>
      <c r="F98" s="28">
        <v>35800</v>
      </c>
      <c r="G98" s="28">
        <v>35800</v>
      </c>
      <c r="H98" s="28">
        <v>35800</v>
      </c>
      <c r="I98" s="28">
        <v>35800</v>
      </c>
      <c r="J98" s="28">
        <v>35800</v>
      </c>
      <c r="K98" s="28">
        <v>35800</v>
      </c>
      <c r="L98" s="28">
        <v>35800</v>
      </c>
      <c r="M98" s="28">
        <v>35800</v>
      </c>
      <c r="N98" s="24"/>
      <c r="O98" s="24"/>
      <c r="P98" s="24"/>
      <c r="Q98" s="24"/>
      <c r="R98" s="24"/>
      <c r="S98" s="35" t="s">
        <v>36</v>
      </c>
      <c r="T98" s="28">
        <v>35800</v>
      </c>
      <c r="U98" s="28">
        <v>35800</v>
      </c>
      <c r="V98" s="28">
        <v>35800</v>
      </c>
      <c r="W98" s="28">
        <v>35800</v>
      </c>
      <c r="X98" s="28">
        <v>35800</v>
      </c>
      <c r="Y98" s="28">
        <v>35800</v>
      </c>
      <c r="Z98" s="28">
        <v>35800</v>
      </c>
      <c r="AA98" s="28">
        <v>35800</v>
      </c>
      <c r="AB98" s="28">
        <v>35800</v>
      </c>
      <c r="AC98" s="28">
        <v>35800</v>
      </c>
      <c r="AD98" s="28">
        <v>35800</v>
      </c>
      <c r="AE98" s="28">
        <v>35800</v>
      </c>
      <c r="AF98" s="24"/>
      <c r="AG98" s="24"/>
      <c r="AH98" s="24"/>
      <c r="AI98" s="24"/>
      <c r="AJ98" s="24"/>
      <c r="AK98" s="35" t="s">
        <v>36</v>
      </c>
      <c r="AL98" s="28">
        <v>35800</v>
      </c>
      <c r="AM98" s="28">
        <v>35800</v>
      </c>
      <c r="AN98" s="28">
        <v>35800</v>
      </c>
      <c r="AO98" s="28">
        <v>35800</v>
      </c>
      <c r="AP98" s="28">
        <v>35800</v>
      </c>
      <c r="AQ98" s="28">
        <v>35800</v>
      </c>
      <c r="AR98" s="28">
        <v>35800</v>
      </c>
      <c r="AS98" s="28">
        <v>35800</v>
      </c>
      <c r="AT98" s="28">
        <v>35800</v>
      </c>
      <c r="AU98" s="28">
        <v>35800</v>
      </c>
      <c r="AV98" s="28">
        <v>35800</v>
      </c>
      <c r="AW98" s="28">
        <v>35800</v>
      </c>
      <c r="AX98" s="24"/>
      <c r="AY98" s="24"/>
      <c r="AZ98" s="24"/>
      <c r="BA98" s="24"/>
      <c r="BB98" s="24"/>
    </row>
    <row r="99" spans="1:54">
      <c r="A99" s="35" t="s">
        <v>37</v>
      </c>
      <c r="B99" s="403">
        <v>0.9</v>
      </c>
      <c r="C99" s="403">
        <v>0.9</v>
      </c>
      <c r="D99" s="403">
        <v>0.9</v>
      </c>
      <c r="E99" s="403">
        <v>0.9</v>
      </c>
      <c r="F99" s="403">
        <v>0.9</v>
      </c>
      <c r="G99" s="403">
        <v>0.9</v>
      </c>
      <c r="H99" s="403">
        <v>0.9</v>
      </c>
      <c r="I99" s="403">
        <v>0.9</v>
      </c>
      <c r="J99" s="403">
        <v>0.9</v>
      </c>
      <c r="K99" s="460">
        <v>0.71</v>
      </c>
      <c r="L99" s="460">
        <v>0.71</v>
      </c>
      <c r="M99" s="460">
        <v>0.71</v>
      </c>
      <c r="N99" s="24"/>
      <c r="O99" s="24"/>
      <c r="P99" s="24"/>
      <c r="Q99" s="24"/>
      <c r="R99" s="24"/>
      <c r="S99" s="35" t="s">
        <v>37</v>
      </c>
      <c r="T99" s="21">
        <v>0.8</v>
      </c>
      <c r="U99" s="21">
        <v>0.8</v>
      </c>
      <c r="V99" s="21">
        <v>0.8</v>
      </c>
      <c r="W99" s="21">
        <v>0.8</v>
      </c>
      <c r="X99" s="21">
        <v>0.8</v>
      </c>
      <c r="Y99" s="21">
        <v>0.8</v>
      </c>
      <c r="Z99" s="21">
        <v>0.8</v>
      </c>
      <c r="AA99" s="21">
        <v>0.8</v>
      </c>
      <c r="AB99" s="21">
        <v>0.8</v>
      </c>
      <c r="AC99" s="21">
        <v>0.8</v>
      </c>
      <c r="AD99" s="21">
        <v>0.8</v>
      </c>
      <c r="AE99" s="21">
        <v>0.8</v>
      </c>
      <c r="AF99" s="24"/>
      <c r="AG99" s="24"/>
      <c r="AH99" s="24"/>
      <c r="AI99" s="24"/>
      <c r="AJ99" s="24"/>
      <c r="AK99" s="35" t="s">
        <v>37</v>
      </c>
      <c r="AL99" s="21">
        <v>0.8</v>
      </c>
      <c r="AM99" s="21">
        <v>0.8</v>
      </c>
      <c r="AN99" s="21">
        <v>0.8</v>
      </c>
      <c r="AO99" s="21">
        <v>0.8</v>
      </c>
      <c r="AP99" s="21">
        <v>0.8</v>
      </c>
      <c r="AQ99" s="21">
        <v>0.8</v>
      </c>
      <c r="AR99" s="21">
        <v>0.8</v>
      </c>
      <c r="AS99" s="21">
        <v>0.8</v>
      </c>
      <c r="AT99" s="21">
        <v>0.8</v>
      </c>
      <c r="AU99" s="21">
        <v>0.8</v>
      </c>
      <c r="AV99" s="21">
        <v>0.8</v>
      </c>
      <c r="AW99" s="21">
        <v>0.8</v>
      </c>
      <c r="AX99" s="24"/>
      <c r="AY99" s="24"/>
      <c r="AZ99" s="24"/>
      <c r="BA99" s="24"/>
      <c r="BB99" s="24"/>
    </row>
    <row r="100" spans="1:54">
      <c r="A100" s="35" t="s">
        <v>38</v>
      </c>
      <c r="B100" s="26">
        <f t="shared" ref="B100:M100" si="90">+B98*B99</f>
        <v>32220</v>
      </c>
      <c r="C100" s="26">
        <f t="shared" si="90"/>
        <v>32220</v>
      </c>
      <c r="D100" s="26">
        <f t="shared" si="90"/>
        <v>32220</v>
      </c>
      <c r="E100" s="26">
        <f t="shared" si="90"/>
        <v>32220</v>
      </c>
      <c r="F100" s="26">
        <f t="shared" si="90"/>
        <v>32220</v>
      </c>
      <c r="G100" s="26">
        <f t="shared" si="90"/>
        <v>32220</v>
      </c>
      <c r="H100" s="26">
        <f t="shared" si="90"/>
        <v>32220</v>
      </c>
      <c r="I100" s="26">
        <f t="shared" si="90"/>
        <v>32220</v>
      </c>
      <c r="J100" s="26">
        <f t="shared" si="90"/>
        <v>32220</v>
      </c>
      <c r="K100" s="26">
        <f t="shared" si="90"/>
        <v>25418</v>
      </c>
      <c r="L100" s="26">
        <f t="shared" si="90"/>
        <v>25418</v>
      </c>
      <c r="M100" s="26">
        <f t="shared" si="90"/>
        <v>25418</v>
      </c>
      <c r="N100" s="26">
        <f>SUM(B100:M100)</f>
        <v>366234</v>
      </c>
      <c r="O100" s="24"/>
      <c r="P100" s="24"/>
      <c r="Q100" s="24"/>
      <c r="R100" s="24"/>
      <c r="S100" s="35" t="s">
        <v>38</v>
      </c>
      <c r="T100" s="26">
        <f t="shared" ref="T100:AE100" si="91">+T98*T99</f>
        <v>28640</v>
      </c>
      <c r="U100" s="26">
        <f t="shared" si="91"/>
        <v>28640</v>
      </c>
      <c r="V100" s="26">
        <f t="shared" si="91"/>
        <v>28640</v>
      </c>
      <c r="W100" s="26">
        <f t="shared" si="91"/>
        <v>28640</v>
      </c>
      <c r="X100" s="26">
        <f t="shared" si="91"/>
        <v>28640</v>
      </c>
      <c r="Y100" s="26">
        <f t="shared" si="91"/>
        <v>28640</v>
      </c>
      <c r="Z100" s="26">
        <f t="shared" si="91"/>
        <v>28640</v>
      </c>
      <c r="AA100" s="26">
        <f t="shared" si="91"/>
        <v>28640</v>
      </c>
      <c r="AB100" s="26">
        <f t="shared" si="91"/>
        <v>28640</v>
      </c>
      <c r="AC100" s="26">
        <f t="shared" si="91"/>
        <v>28640</v>
      </c>
      <c r="AD100" s="26">
        <f t="shared" si="91"/>
        <v>28640</v>
      </c>
      <c r="AE100" s="26">
        <f t="shared" si="91"/>
        <v>28640</v>
      </c>
      <c r="AF100" s="26">
        <f>SUM(T100:AE100)</f>
        <v>343680</v>
      </c>
      <c r="AG100" s="24"/>
      <c r="AH100" s="24"/>
      <c r="AI100" s="24"/>
      <c r="AJ100" s="24"/>
      <c r="AK100" s="35" t="s">
        <v>38</v>
      </c>
      <c r="AL100" s="26">
        <f t="shared" ref="AL100:AW100" si="92">+AL98*AL99</f>
        <v>28640</v>
      </c>
      <c r="AM100" s="26">
        <f t="shared" si="92"/>
        <v>28640</v>
      </c>
      <c r="AN100" s="26">
        <f t="shared" si="92"/>
        <v>28640</v>
      </c>
      <c r="AO100" s="26">
        <f t="shared" si="92"/>
        <v>28640</v>
      </c>
      <c r="AP100" s="26">
        <f t="shared" si="92"/>
        <v>28640</v>
      </c>
      <c r="AQ100" s="26">
        <f t="shared" si="92"/>
        <v>28640</v>
      </c>
      <c r="AR100" s="26">
        <f t="shared" si="92"/>
        <v>28640</v>
      </c>
      <c r="AS100" s="26">
        <f t="shared" si="92"/>
        <v>28640</v>
      </c>
      <c r="AT100" s="26">
        <f t="shared" si="92"/>
        <v>28640</v>
      </c>
      <c r="AU100" s="26">
        <f t="shared" si="92"/>
        <v>28640</v>
      </c>
      <c r="AV100" s="26">
        <f t="shared" si="92"/>
        <v>28640</v>
      </c>
      <c r="AW100" s="26">
        <f t="shared" si="92"/>
        <v>28640</v>
      </c>
      <c r="AX100" s="26">
        <f>SUM(AL100:AW100)</f>
        <v>343680</v>
      </c>
      <c r="AY100" s="24"/>
      <c r="AZ100" s="24"/>
      <c r="BA100" s="24"/>
      <c r="BB100" s="24"/>
    </row>
    <row r="101" spans="1:54">
      <c r="A101" s="35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35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35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</row>
    <row r="102" spans="1:54">
      <c r="A102" s="35" t="s">
        <v>39</v>
      </c>
      <c r="B102" s="36">
        <v>111250</v>
      </c>
      <c r="C102" s="36">
        <v>111250</v>
      </c>
      <c r="D102" s="36">
        <v>111250</v>
      </c>
      <c r="E102" s="36">
        <v>111250</v>
      </c>
      <c r="F102" s="36">
        <v>111250</v>
      </c>
      <c r="G102" s="36">
        <v>111250</v>
      </c>
      <c r="H102" s="36">
        <v>111250</v>
      </c>
      <c r="I102" s="36">
        <v>111250</v>
      </c>
      <c r="J102" s="36">
        <v>111250</v>
      </c>
      <c r="K102" s="36">
        <v>111250</v>
      </c>
      <c r="L102" s="36">
        <v>111250</v>
      </c>
      <c r="M102" s="36">
        <v>111250</v>
      </c>
      <c r="N102" s="24"/>
      <c r="O102" s="24"/>
      <c r="P102" s="24"/>
      <c r="Q102" s="24"/>
      <c r="R102" s="24"/>
      <c r="S102" s="35" t="s">
        <v>39</v>
      </c>
      <c r="T102" s="36">
        <v>111250</v>
      </c>
      <c r="U102" s="36">
        <v>111250</v>
      </c>
      <c r="V102" s="36">
        <v>111250</v>
      </c>
      <c r="W102" s="36">
        <v>111250</v>
      </c>
      <c r="X102" s="36">
        <v>111250</v>
      </c>
      <c r="Y102" s="36">
        <v>111250</v>
      </c>
      <c r="Z102" s="36">
        <v>111250</v>
      </c>
      <c r="AA102" s="36">
        <v>111250</v>
      </c>
      <c r="AB102" s="36">
        <v>111250</v>
      </c>
      <c r="AC102" s="36">
        <v>111250</v>
      </c>
      <c r="AD102" s="36">
        <v>111250</v>
      </c>
      <c r="AE102" s="36">
        <v>111250</v>
      </c>
      <c r="AF102" s="24"/>
      <c r="AG102" s="24"/>
      <c r="AH102" s="24"/>
      <c r="AI102" s="24"/>
      <c r="AJ102" s="24"/>
      <c r="AK102" s="35" t="s">
        <v>39</v>
      </c>
      <c r="AL102" s="36">
        <v>111250</v>
      </c>
      <c r="AM102" s="36">
        <v>111250</v>
      </c>
      <c r="AN102" s="36">
        <v>111250</v>
      </c>
      <c r="AO102" s="36">
        <v>111250</v>
      </c>
      <c r="AP102" s="36">
        <v>111250</v>
      </c>
      <c r="AQ102" s="36">
        <v>111250</v>
      </c>
      <c r="AR102" s="36">
        <v>111250</v>
      </c>
      <c r="AS102" s="36">
        <v>111250</v>
      </c>
      <c r="AT102" s="36">
        <v>111250</v>
      </c>
      <c r="AU102" s="36">
        <v>111250</v>
      </c>
      <c r="AV102" s="36">
        <v>111250</v>
      </c>
      <c r="AW102" s="36">
        <v>111250</v>
      </c>
      <c r="AX102" s="24"/>
      <c r="AY102" s="24"/>
      <c r="AZ102" s="24"/>
      <c r="BA102" s="24"/>
      <c r="BB102" s="24"/>
    </row>
    <row r="103" spans="1:54">
      <c r="A103" s="35" t="s">
        <v>37</v>
      </c>
      <c r="B103" s="403">
        <v>0.34200000000000003</v>
      </c>
      <c r="C103" s="403">
        <v>0.34200000000000003</v>
      </c>
      <c r="D103" s="403">
        <v>0.34200000000000003</v>
      </c>
      <c r="E103" s="403">
        <v>0.34200000000000003</v>
      </c>
      <c r="F103" s="403">
        <v>0.34200000000000003</v>
      </c>
      <c r="G103" s="403">
        <v>0.34200000000000003</v>
      </c>
      <c r="H103" s="403">
        <v>0.34200000000000003</v>
      </c>
      <c r="I103" s="403">
        <v>0.34200000000000003</v>
      </c>
      <c r="J103" s="403">
        <v>0.34200000000000003</v>
      </c>
      <c r="K103" s="460">
        <v>0.48899999999999999</v>
      </c>
      <c r="L103" s="460">
        <v>0.48899999999999999</v>
      </c>
      <c r="M103" s="460">
        <v>0.48899999999999999</v>
      </c>
      <c r="N103" s="24"/>
      <c r="O103" s="24"/>
      <c r="P103" s="24"/>
      <c r="Q103" s="24"/>
      <c r="R103" s="24"/>
      <c r="S103" s="35" t="s">
        <v>37</v>
      </c>
      <c r="T103" s="21">
        <v>0.3</v>
      </c>
      <c r="U103" s="21">
        <v>0.3</v>
      </c>
      <c r="V103" s="21">
        <v>0.3</v>
      </c>
      <c r="W103" s="21">
        <v>0.3</v>
      </c>
      <c r="X103" s="21">
        <v>0.3</v>
      </c>
      <c r="Y103" s="21">
        <v>0.3</v>
      </c>
      <c r="Z103" s="21">
        <v>0.3</v>
      </c>
      <c r="AA103" s="21">
        <v>0.3</v>
      </c>
      <c r="AB103" s="21">
        <v>0.3</v>
      </c>
      <c r="AC103" s="21">
        <v>0.3</v>
      </c>
      <c r="AD103" s="21">
        <v>0.3</v>
      </c>
      <c r="AE103" s="21">
        <v>0.3</v>
      </c>
      <c r="AF103" s="24"/>
      <c r="AG103" s="24"/>
      <c r="AH103" s="24"/>
      <c r="AI103" s="24"/>
      <c r="AJ103" s="24"/>
      <c r="AK103" s="35" t="s">
        <v>37</v>
      </c>
      <c r="AL103" s="21">
        <v>0.3</v>
      </c>
      <c r="AM103" s="21">
        <v>0.3</v>
      </c>
      <c r="AN103" s="21">
        <v>0.3</v>
      </c>
      <c r="AO103" s="21">
        <v>0.3</v>
      </c>
      <c r="AP103" s="21">
        <v>0.3</v>
      </c>
      <c r="AQ103" s="21">
        <v>0.3</v>
      </c>
      <c r="AR103" s="21">
        <v>0.3</v>
      </c>
      <c r="AS103" s="21">
        <v>0.3</v>
      </c>
      <c r="AT103" s="21">
        <v>0.3</v>
      </c>
      <c r="AU103" s="21">
        <v>0.3</v>
      </c>
      <c r="AV103" s="21">
        <v>0.3</v>
      </c>
      <c r="AW103" s="21">
        <v>0.3</v>
      </c>
      <c r="AX103" s="24"/>
      <c r="AY103" s="24"/>
      <c r="AZ103" s="24"/>
      <c r="BA103" s="24"/>
      <c r="BB103" s="24"/>
    </row>
    <row r="104" spans="1:54">
      <c r="A104" s="35" t="s">
        <v>38</v>
      </c>
      <c r="B104" s="26">
        <f t="shared" ref="B104:M104" si="93">+B102*B103</f>
        <v>38047.5</v>
      </c>
      <c r="C104" s="26">
        <f t="shared" si="93"/>
        <v>38047.5</v>
      </c>
      <c r="D104" s="26">
        <f t="shared" si="93"/>
        <v>38047.5</v>
      </c>
      <c r="E104" s="26">
        <f t="shared" si="93"/>
        <v>38047.5</v>
      </c>
      <c r="F104" s="26">
        <f t="shared" si="93"/>
        <v>38047.5</v>
      </c>
      <c r="G104" s="26">
        <f t="shared" si="93"/>
        <v>38047.5</v>
      </c>
      <c r="H104" s="26">
        <f t="shared" si="93"/>
        <v>38047.5</v>
      </c>
      <c r="I104" s="26">
        <f t="shared" si="93"/>
        <v>38047.5</v>
      </c>
      <c r="J104" s="26">
        <f t="shared" si="93"/>
        <v>38047.5</v>
      </c>
      <c r="K104" s="26">
        <f t="shared" si="93"/>
        <v>54401.25</v>
      </c>
      <c r="L104" s="26">
        <f t="shared" si="93"/>
        <v>54401.25</v>
      </c>
      <c r="M104" s="26">
        <f t="shared" si="93"/>
        <v>54401.25</v>
      </c>
      <c r="N104" s="26">
        <f>SUM(B104:M104)</f>
        <v>505631.25</v>
      </c>
      <c r="O104" s="24"/>
      <c r="P104" s="24"/>
      <c r="Q104" s="24"/>
      <c r="R104" s="24"/>
      <c r="S104" s="35" t="s">
        <v>38</v>
      </c>
      <c r="T104" s="26">
        <f t="shared" ref="T104:AE104" si="94">+T102*T103</f>
        <v>33375</v>
      </c>
      <c r="U104" s="26">
        <f t="shared" si="94"/>
        <v>33375</v>
      </c>
      <c r="V104" s="26">
        <f t="shared" si="94"/>
        <v>33375</v>
      </c>
      <c r="W104" s="26">
        <f t="shared" si="94"/>
        <v>33375</v>
      </c>
      <c r="X104" s="26">
        <f t="shared" si="94"/>
        <v>33375</v>
      </c>
      <c r="Y104" s="26">
        <f t="shared" si="94"/>
        <v>33375</v>
      </c>
      <c r="Z104" s="26">
        <f t="shared" si="94"/>
        <v>33375</v>
      </c>
      <c r="AA104" s="26">
        <f t="shared" si="94"/>
        <v>33375</v>
      </c>
      <c r="AB104" s="26">
        <f t="shared" si="94"/>
        <v>33375</v>
      </c>
      <c r="AC104" s="26">
        <f t="shared" si="94"/>
        <v>33375</v>
      </c>
      <c r="AD104" s="26">
        <f t="shared" si="94"/>
        <v>33375</v>
      </c>
      <c r="AE104" s="26">
        <f t="shared" si="94"/>
        <v>33375</v>
      </c>
      <c r="AF104" s="26">
        <f>SUM(T104:AE104)</f>
        <v>400500</v>
      </c>
      <c r="AG104" s="24"/>
      <c r="AH104" s="24"/>
      <c r="AI104" s="24"/>
      <c r="AJ104" s="24"/>
      <c r="AK104" s="35" t="s">
        <v>38</v>
      </c>
      <c r="AL104" s="26">
        <f t="shared" ref="AL104:AW104" si="95">+AL102*AL103</f>
        <v>33375</v>
      </c>
      <c r="AM104" s="26">
        <f t="shared" si="95"/>
        <v>33375</v>
      </c>
      <c r="AN104" s="26">
        <f t="shared" si="95"/>
        <v>33375</v>
      </c>
      <c r="AO104" s="26">
        <f t="shared" si="95"/>
        <v>33375</v>
      </c>
      <c r="AP104" s="26">
        <f t="shared" si="95"/>
        <v>33375</v>
      </c>
      <c r="AQ104" s="26">
        <f t="shared" si="95"/>
        <v>33375</v>
      </c>
      <c r="AR104" s="26">
        <f t="shared" si="95"/>
        <v>33375</v>
      </c>
      <c r="AS104" s="26">
        <f t="shared" si="95"/>
        <v>33375</v>
      </c>
      <c r="AT104" s="26">
        <f t="shared" si="95"/>
        <v>33375</v>
      </c>
      <c r="AU104" s="26">
        <f t="shared" si="95"/>
        <v>33375</v>
      </c>
      <c r="AV104" s="26">
        <f t="shared" si="95"/>
        <v>33375</v>
      </c>
      <c r="AW104" s="26">
        <f t="shared" si="95"/>
        <v>33375</v>
      </c>
      <c r="AX104" s="26">
        <f>SUM(AL104:AW104)</f>
        <v>400500</v>
      </c>
      <c r="AY104" s="24"/>
      <c r="AZ104" s="24"/>
      <c r="BA104" s="24"/>
      <c r="BB104" s="24"/>
    </row>
    <row r="105" spans="1:54"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</row>
    <row r="106" spans="1:54" ht="21" thickBot="1">
      <c r="A106" s="351" t="s">
        <v>40</v>
      </c>
      <c r="B106" s="40">
        <f>SUM(B100,B104)</f>
        <v>70267.5</v>
      </c>
      <c r="C106" s="40">
        <f>SUM(C100,C104)</f>
        <v>70267.5</v>
      </c>
      <c r="D106" s="40">
        <f t="shared" ref="D106:M106" si="96">SUM(D100,D104)</f>
        <v>70267.5</v>
      </c>
      <c r="E106" s="40">
        <f t="shared" si="96"/>
        <v>70267.5</v>
      </c>
      <c r="F106" s="40">
        <f t="shared" si="96"/>
        <v>70267.5</v>
      </c>
      <c r="G106" s="40">
        <f t="shared" si="96"/>
        <v>70267.5</v>
      </c>
      <c r="H106" s="40">
        <f t="shared" si="96"/>
        <v>70267.5</v>
      </c>
      <c r="I106" s="40">
        <f t="shared" si="96"/>
        <v>70267.5</v>
      </c>
      <c r="J106" s="40">
        <f t="shared" si="96"/>
        <v>70267.5</v>
      </c>
      <c r="K106" s="40">
        <f t="shared" si="96"/>
        <v>79819.25</v>
      </c>
      <c r="L106" s="40">
        <f t="shared" si="96"/>
        <v>79819.25</v>
      </c>
      <c r="M106" s="40">
        <f t="shared" si="96"/>
        <v>79819.25</v>
      </c>
      <c r="N106" s="40">
        <f>SUM(B106:M106)</f>
        <v>871865.25</v>
      </c>
      <c r="O106" s="39">
        <f>N106/12</f>
        <v>72655.4375</v>
      </c>
      <c r="P106" s="28">
        <v>35800</v>
      </c>
      <c r="Q106" s="197">
        <f>O106/P106</f>
        <v>2.0294814944134076</v>
      </c>
      <c r="R106" s="197">
        <f>(Q106*1.04)/(1-0.025)</f>
        <v>2.164780260707635</v>
      </c>
      <c r="S106" s="351" t="s">
        <v>40</v>
      </c>
      <c r="T106" s="40">
        <f>SUM(T100,T104)</f>
        <v>62015</v>
      </c>
      <c r="U106" s="40">
        <f>SUM(U100,U104)</f>
        <v>62015</v>
      </c>
      <c r="V106" s="40">
        <f t="shared" ref="V106:AE106" si="97">SUM(V100,V104)</f>
        <v>62015</v>
      </c>
      <c r="W106" s="40">
        <f t="shared" si="97"/>
        <v>62015</v>
      </c>
      <c r="X106" s="40">
        <f t="shared" si="97"/>
        <v>62015</v>
      </c>
      <c r="Y106" s="40">
        <f t="shared" si="97"/>
        <v>62015</v>
      </c>
      <c r="Z106" s="40">
        <f t="shared" si="97"/>
        <v>62015</v>
      </c>
      <c r="AA106" s="40">
        <f t="shared" si="97"/>
        <v>62015</v>
      </c>
      <c r="AB106" s="40">
        <f t="shared" si="97"/>
        <v>62015</v>
      </c>
      <c r="AC106" s="40">
        <f t="shared" si="97"/>
        <v>62015</v>
      </c>
      <c r="AD106" s="40">
        <f t="shared" si="97"/>
        <v>62015</v>
      </c>
      <c r="AE106" s="40">
        <f t="shared" si="97"/>
        <v>62015</v>
      </c>
      <c r="AF106" s="40">
        <f>SUM(T106:AE106)</f>
        <v>744180</v>
      </c>
      <c r="AG106" s="39">
        <f>AF106/12</f>
        <v>62015</v>
      </c>
      <c r="AH106" s="28">
        <v>35800</v>
      </c>
      <c r="AI106" s="17">
        <f>AG106/AH106</f>
        <v>1.7322625698324023</v>
      </c>
      <c r="AJ106" s="197">
        <f>(AI106*1.04)/(1-0.025)</f>
        <v>1.8477467411545627</v>
      </c>
      <c r="AK106" s="351" t="s">
        <v>40</v>
      </c>
      <c r="AL106" s="40">
        <f>SUM(AL100,AL104)</f>
        <v>62015</v>
      </c>
      <c r="AM106" s="40">
        <f>SUM(AM100,AM104)</f>
        <v>62015</v>
      </c>
      <c r="AN106" s="40">
        <f t="shared" ref="AN106:AW106" si="98">SUM(AN100,AN104)</f>
        <v>62015</v>
      </c>
      <c r="AO106" s="40">
        <f t="shared" si="98"/>
        <v>62015</v>
      </c>
      <c r="AP106" s="40">
        <f t="shared" si="98"/>
        <v>62015</v>
      </c>
      <c r="AQ106" s="40">
        <f t="shared" si="98"/>
        <v>62015</v>
      </c>
      <c r="AR106" s="40">
        <f t="shared" si="98"/>
        <v>62015</v>
      </c>
      <c r="AS106" s="40">
        <f t="shared" si="98"/>
        <v>62015</v>
      </c>
      <c r="AT106" s="40">
        <f t="shared" si="98"/>
        <v>62015</v>
      </c>
      <c r="AU106" s="40">
        <f t="shared" si="98"/>
        <v>62015</v>
      </c>
      <c r="AV106" s="40">
        <f t="shared" si="98"/>
        <v>62015</v>
      </c>
      <c r="AW106" s="40">
        <f t="shared" si="98"/>
        <v>62015</v>
      </c>
      <c r="AX106" s="40">
        <f>SUM(AL106:AW106)</f>
        <v>744180</v>
      </c>
      <c r="AY106" s="39">
        <f>AX106/12</f>
        <v>62015</v>
      </c>
      <c r="AZ106" s="28">
        <v>35800</v>
      </c>
      <c r="BA106" s="17">
        <f>AY106/AZ106</f>
        <v>1.7322625698324023</v>
      </c>
      <c r="BB106" s="197">
        <f>(BA106*1.04)/(1-0.025)</f>
        <v>1.8477467411545627</v>
      </c>
    </row>
    <row r="107" spans="1:54" ht="21" thickTop="1">
      <c r="A107" s="353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24"/>
      <c r="P107" s="24"/>
      <c r="Q107" s="24"/>
      <c r="R107" s="24"/>
      <c r="S107" s="353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24"/>
      <c r="AH107" s="24"/>
      <c r="AI107" s="24"/>
      <c r="AJ107" s="24"/>
      <c r="AK107" s="353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24"/>
      <c r="AZ107" s="24"/>
      <c r="BA107" s="24"/>
      <c r="BB107" s="24"/>
    </row>
    <row r="108" spans="1:54">
      <c r="A108" s="170" t="s">
        <v>41</v>
      </c>
      <c r="B108" s="26">
        <f>SUM(B49,B95,B106)</f>
        <v>1597446.474529</v>
      </c>
      <c r="C108" s="26">
        <f t="shared" ref="C108:M108" si="99">SUM(C49,C95,C106)</f>
        <v>1590093.49554</v>
      </c>
      <c r="D108" s="26">
        <f t="shared" si="99"/>
        <v>1582543.893283</v>
      </c>
      <c r="E108" s="26">
        <f t="shared" si="99"/>
        <v>1783386.1206359998</v>
      </c>
      <c r="F108" s="26">
        <f t="shared" si="99"/>
        <v>1775834.4198469999</v>
      </c>
      <c r="G108" s="26">
        <f t="shared" si="99"/>
        <v>1770817.9350380001</v>
      </c>
      <c r="H108" s="26">
        <f t="shared" si="99"/>
        <v>1780271.3415220003</v>
      </c>
      <c r="I108" s="26">
        <f t="shared" si="99"/>
        <v>1755976.4374349997</v>
      </c>
      <c r="J108" s="26">
        <f t="shared" si="99"/>
        <v>1770965.6590199999</v>
      </c>
      <c r="K108" s="26">
        <f t="shared" si="99"/>
        <v>1586935.25067</v>
      </c>
      <c r="L108" s="26">
        <f t="shared" si="99"/>
        <v>1716745.663312</v>
      </c>
      <c r="M108" s="26">
        <f t="shared" si="99"/>
        <v>1715042.3722279998</v>
      </c>
      <c r="N108" s="354">
        <f>SUM(B108:M108)</f>
        <v>20426059.063060001</v>
      </c>
      <c r="O108" s="39">
        <f>N108/12</f>
        <v>1702171.5885883335</v>
      </c>
      <c r="P108" s="28">
        <f>SUM(P49,P95,P106)</f>
        <v>214624</v>
      </c>
      <c r="Q108" s="197">
        <f>O108/P108</f>
        <v>7.9309470916036116</v>
      </c>
      <c r="R108" s="197">
        <f>(Q108*1.04)/(1-0.025)</f>
        <v>8.4596768977105192</v>
      </c>
      <c r="S108" s="170" t="s">
        <v>41</v>
      </c>
      <c r="T108" s="26">
        <f>SUM(T49,T95,T106)</f>
        <v>1744142.645</v>
      </c>
      <c r="U108" s="26">
        <f t="shared" ref="U108:AE108" si="100">SUM(U49,U95,U106)</f>
        <v>1744142.645</v>
      </c>
      <c r="V108" s="26">
        <f t="shared" si="100"/>
        <v>1744142.645</v>
      </c>
      <c r="W108" s="26">
        <f t="shared" si="100"/>
        <v>1880190.3449999997</v>
      </c>
      <c r="X108" s="26">
        <f t="shared" si="100"/>
        <v>1928352.7449999999</v>
      </c>
      <c r="Y108" s="26">
        <f t="shared" si="100"/>
        <v>1928352.7449999999</v>
      </c>
      <c r="Z108" s="26">
        <f t="shared" si="100"/>
        <v>1928352.7449999999</v>
      </c>
      <c r="AA108" s="26">
        <f t="shared" si="100"/>
        <v>1928352.7449999999</v>
      </c>
      <c r="AB108" s="26">
        <f t="shared" si="100"/>
        <v>1928352.7449999999</v>
      </c>
      <c r="AC108" s="26">
        <f t="shared" si="100"/>
        <v>1744142.645</v>
      </c>
      <c r="AD108" s="26">
        <f t="shared" si="100"/>
        <v>1744142.645</v>
      </c>
      <c r="AE108" s="26">
        <f t="shared" si="100"/>
        <v>1744142.645</v>
      </c>
      <c r="AF108" s="354">
        <f>SUM(T108:AE108)</f>
        <v>21986809.939999998</v>
      </c>
      <c r="AG108" s="39">
        <f>AF108/12</f>
        <v>1832234.1616666664</v>
      </c>
      <c r="AH108" s="28">
        <f>SUM(AH49,AH95,AH106)</f>
        <v>214624</v>
      </c>
      <c r="AI108" s="17">
        <f>AG108/AH108</f>
        <v>8.5369490908130796</v>
      </c>
      <c r="AJ108" s="197">
        <f>(AI108*1.04)/(1-0.025)</f>
        <v>9.10607903020062</v>
      </c>
      <c r="AK108" s="170" t="s">
        <v>41</v>
      </c>
      <c r="AL108" s="26">
        <f>SUM(AL49,AL95,AL106)</f>
        <v>1744142.645</v>
      </c>
      <c r="AM108" s="26">
        <f t="shared" ref="AM108:AW108" si="101">SUM(AM49,AM95,AM106)</f>
        <v>1744142.645</v>
      </c>
      <c r="AN108" s="26">
        <f t="shared" si="101"/>
        <v>1744142.645</v>
      </c>
      <c r="AO108" s="26">
        <f t="shared" si="101"/>
        <v>1880190.3449999997</v>
      </c>
      <c r="AP108" s="26">
        <f t="shared" si="101"/>
        <v>1928352.7449999999</v>
      </c>
      <c r="AQ108" s="26">
        <f t="shared" si="101"/>
        <v>1928352.7449999999</v>
      </c>
      <c r="AR108" s="26">
        <f t="shared" si="101"/>
        <v>1928352.7449999999</v>
      </c>
      <c r="AS108" s="26">
        <f t="shared" si="101"/>
        <v>1928352.7449999999</v>
      </c>
      <c r="AT108" s="26">
        <f t="shared" si="101"/>
        <v>1928352.7449999999</v>
      </c>
      <c r="AU108" s="26">
        <f t="shared" si="101"/>
        <v>1744142.645</v>
      </c>
      <c r="AV108" s="26">
        <f t="shared" si="101"/>
        <v>1744142.645</v>
      </c>
      <c r="AW108" s="26">
        <f t="shared" si="101"/>
        <v>1744142.645</v>
      </c>
      <c r="AX108" s="354">
        <f>SUM(AL108:AW108)</f>
        <v>21986809.939999998</v>
      </c>
      <c r="AY108" s="39">
        <f>AX108/12</f>
        <v>1832234.1616666664</v>
      </c>
      <c r="AZ108" s="28">
        <f>SUM(AZ49,AZ95,AZ106)</f>
        <v>214624</v>
      </c>
      <c r="BA108" s="17">
        <f>AY108/AZ108</f>
        <v>8.5369490908130796</v>
      </c>
      <c r="BB108" s="197">
        <f>(BA108*1.04)/(1-0.025)</f>
        <v>9.10607903020062</v>
      </c>
    </row>
    <row r="109" spans="1:54">
      <c r="D109" s="24"/>
      <c r="E109" s="39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T109" s="24">
        <f>B108-T108</f>
        <v>-146696.17047100002</v>
      </c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39"/>
      <c r="AG109" s="24"/>
      <c r="AH109" s="24"/>
      <c r="AI109" s="24"/>
      <c r="AJ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</row>
    <row r="110" spans="1:54">
      <c r="A110" s="350" t="s">
        <v>151</v>
      </c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13"/>
      <c r="P110" s="24"/>
      <c r="Q110" s="24"/>
      <c r="R110" s="24"/>
      <c r="S110" s="350" t="s">
        <v>151</v>
      </c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13" t="s">
        <v>273</v>
      </c>
      <c r="AH110" s="24"/>
      <c r="AI110" s="24"/>
      <c r="AJ110" s="24"/>
      <c r="AK110" s="350" t="s">
        <v>151</v>
      </c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13" t="s">
        <v>273</v>
      </c>
      <c r="AZ110" s="24"/>
      <c r="BA110" s="24"/>
      <c r="BB110" s="24"/>
    </row>
    <row r="111" spans="1:54">
      <c r="A111" s="37" t="s">
        <v>309</v>
      </c>
      <c r="B111" s="39">
        <f>SUM(B34,B45,B67,B83,B87,B100,B104,)</f>
        <v>682885.42290000001</v>
      </c>
      <c r="C111" s="39">
        <f t="shared" ref="C111:M111" si="102">SUM(C34,C45,C67,C83,C87,C100,C104,)</f>
        <v>682885.42290000001</v>
      </c>
      <c r="D111" s="39">
        <f t="shared" si="102"/>
        <v>682885.42290000001</v>
      </c>
      <c r="E111" s="39">
        <f t="shared" si="102"/>
        <v>821396.05539999995</v>
      </c>
      <c r="F111" s="39">
        <f t="shared" si="102"/>
        <v>821396.05539999995</v>
      </c>
      <c r="G111" s="39">
        <f t="shared" si="102"/>
        <v>821396.05539999995</v>
      </c>
      <c r="H111" s="39">
        <f t="shared" si="102"/>
        <v>821396.05539999995</v>
      </c>
      <c r="I111" s="39">
        <f t="shared" si="102"/>
        <v>820761.79039999994</v>
      </c>
      <c r="J111" s="39">
        <f t="shared" si="102"/>
        <v>820761.79039999994</v>
      </c>
      <c r="K111" s="39">
        <f t="shared" si="102"/>
        <v>686956.4683999999</v>
      </c>
      <c r="L111" s="39">
        <f t="shared" si="102"/>
        <v>686956.4683999999</v>
      </c>
      <c r="M111" s="39">
        <f t="shared" si="102"/>
        <v>686956.4683999999</v>
      </c>
      <c r="N111" s="39">
        <f t="shared" ref="N111:N116" si="103">SUM(B111:M111)</f>
        <v>9036633.4762999993</v>
      </c>
      <c r="O111" s="39"/>
      <c r="P111" s="24"/>
      <c r="Q111" s="24"/>
      <c r="R111" s="24"/>
      <c r="S111" s="37" t="s">
        <v>42</v>
      </c>
      <c r="T111" s="39">
        <f>SUM(T34,T45,T67,T83,T87,T100,T104,)</f>
        <v>668550.23</v>
      </c>
      <c r="U111" s="39">
        <f t="shared" ref="U111:AE111" si="104">SUM(U34,U45,U67,U83,U87,U100,U104,)</f>
        <v>668550.23</v>
      </c>
      <c r="V111" s="39">
        <f t="shared" si="104"/>
        <v>668550.23</v>
      </c>
      <c r="W111" s="39">
        <f t="shared" si="104"/>
        <v>804597.92999999993</v>
      </c>
      <c r="X111" s="39">
        <f t="shared" si="104"/>
        <v>804597.92999999993</v>
      </c>
      <c r="Y111" s="39">
        <f t="shared" si="104"/>
        <v>804597.92999999993</v>
      </c>
      <c r="Z111" s="39">
        <f t="shared" si="104"/>
        <v>804597.92999999993</v>
      </c>
      <c r="AA111" s="39">
        <f t="shared" si="104"/>
        <v>804597.92999999993</v>
      </c>
      <c r="AB111" s="39">
        <f t="shared" si="104"/>
        <v>804597.92999999993</v>
      </c>
      <c r="AC111" s="39">
        <f t="shared" si="104"/>
        <v>668550.23</v>
      </c>
      <c r="AD111" s="39">
        <f t="shared" si="104"/>
        <v>668550.23</v>
      </c>
      <c r="AE111" s="39">
        <f t="shared" si="104"/>
        <v>668550.23</v>
      </c>
      <c r="AF111" s="39">
        <f t="shared" ref="AF111:AF116" si="105">SUM(T111:AE111)</f>
        <v>8838888.959999999</v>
      </c>
      <c r="AG111" s="39">
        <f t="shared" ref="AG111:AG116" si="106">AF111-N111</f>
        <v>-197744.51630000025</v>
      </c>
      <c r="AH111" s="24"/>
      <c r="AI111" s="24"/>
      <c r="AJ111" s="24"/>
      <c r="AK111" s="37" t="s">
        <v>42</v>
      </c>
      <c r="AL111" s="39">
        <f>SUM(AL34,AL45,AL67,AL83,AL87,AL100,AL104,)</f>
        <v>668550.23</v>
      </c>
      <c r="AM111" s="39">
        <f t="shared" ref="AM111:AW111" si="107">SUM(AM34,AM45,AM67,AM83,AM87,AM100,AM104,)</f>
        <v>668550.23</v>
      </c>
      <c r="AN111" s="39">
        <f t="shared" si="107"/>
        <v>668550.23</v>
      </c>
      <c r="AO111" s="39">
        <f t="shared" si="107"/>
        <v>804597.92999999993</v>
      </c>
      <c r="AP111" s="39">
        <f t="shared" si="107"/>
        <v>804597.92999999993</v>
      </c>
      <c r="AQ111" s="39">
        <f t="shared" si="107"/>
        <v>804597.92999999993</v>
      </c>
      <c r="AR111" s="39">
        <f t="shared" si="107"/>
        <v>804597.92999999993</v>
      </c>
      <c r="AS111" s="39">
        <f t="shared" si="107"/>
        <v>804597.92999999993</v>
      </c>
      <c r="AT111" s="39">
        <f t="shared" si="107"/>
        <v>804597.92999999993</v>
      </c>
      <c r="AU111" s="39">
        <f t="shared" si="107"/>
        <v>668550.23</v>
      </c>
      <c r="AV111" s="39">
        <f t="shared" si="107"/>
        <v>668550.23</v>
      </c>
      <c r="AW111" s="39">
        <f t="shared" si="107"/>
        <v>668550.23</v>
      </c>
      <c r="AX111" s="39">
        <f t="shared" ref="AX111:AX116" si="108">SUM(AL111:AW111)</f>
        <v>8838888.959999999</v>
      </c>
      <c r="AY111" s="39">
        <f t="shared" ref="AY111:AY116" si="109">AX111-AF111</f>
        <v>0</v>
      </c>
      <c r="AZ111" s="24"/>
      <c r="BA111" s="24"/>
      <c r="BB111" s="24"/>
    </row>
    <row r="112" spans="1:54">
      <c r="A112" s="37" t="s">
        <v>43</v>
      </c>
      <c r="B112" s="39">
        <f>+B30</f>
        <v>163810.47</v>
      </c>
      <c r="C112" s="39">
        <f>+C30</f>
        <v>163810.47</v>
      </c>
      <c r="D112" s="39">
        <f t="shared" ref="D112:M112" si="110">+D30</f>
        <v>163810.47</v>
      </c>
      <c r="E112" s="39">
        <f t="shared" si="110"/>
        <v>163810.47</v>
      </c>
      <c r="F112" s="39">
        <f t="shared" si="110"/>
        <v>163810.47</v>
      </c>
      <c r="G112" s="39">
        <f t="shared" si="110"/>
        <v>163810.47</v>
      </c>
      <c r="H112" s="39">
        <f t="shared" si="110"/>
        <v>163810.47</v>
      </c>
      <c r="I112" s="39">
        <f t="shared" si="110"/>
        <v>163810.47</v>
      </c>
      <c r="J112" s="39">
        <f t="shared" si="110"/>
        <v>163810.47</v>
      </c>
      <c r="K112" s="39">
        <f t="shared" si="110"/>
        <v>163810.47</v>
      </c>
      <c r="L112" s="39">
        <f t="shared" si="110"/>
        <v>286051.10340000002</v>
      </c>
      <c r="M112" s="39">
        <f t="shared" si="110"/>
        <v>286051.10340000002</v>
      </c>
      <c r="N112" s="39">
        <f t="shared" si="103"/>
        <v>2210206.9068</v>
      </c>
      <c r="O112" s="39"/>
      <c r="P112" s="24"/>
      <c r="Q112" s="24"/>
      <c r="R112" s="24"/>
      <c r="S112" s="37" t="s">
        <v>43</v>
      </c>
      <c r="T112" s="39">
        <f>+T30</f>
        <v>286473</v>
      </c>
      <c r="U112" s="39">
        <f>+U30</f>
        <v>286473</v>
      </c>
      <c r="V112" s="39">
        <f t="shared" ref="V112:AE112" si="111">+V30</f>
        <v>286473</v>
      </c>
      <c r="W112" s="39">
        <f t="shared" si="111"/>
        <v>286473</v>
      </c>
      <c r="X112" s="39">
        <f t="shared" si="111"/>
        <v>286473</v>
      </c>
      <c r="Y112" s="39">
        <f t="shared" si="111"/>
        <v>286473</v>
      </c>
      <c r="Z112" s="39">
        <f t="shared" si="111"/>
        <v>286473</v>
      </c>
      <c r="AA112" s="39">
        <f t="shared" si="111"/>
        <v>286473</v>
      </c>
      <c r="AB112" s="39">
        <f t="shared" si="111"/>
        <v>286473</v>
      </c>
      <c r="AC112" s="39">
        <f t="shared" si="111"/>
        <v>286473</v>
      </c>
      <c r="AD112" s="39">
        <f t="shared" si="111"/>
        <v>286473</v>
      </c>
      <c r="AE112" s="39">
        <f t="shared" si="111"/>
        <v>286473</v>
      </c>
      <c r="AF112" s="39">
        <f t="shared" si="105"/>
        <v>3437676</v>
      </c>
      <c r="AG112" s="39">
        <f t="shared" si="106"/>
        <v>1227469.0932</v>
      </c>
      <c r="AH112" s="24"/>
      <c r="AI112" s="24"/>
      <c r="AJ112" s="24"/>
      <c r="AK112" s="37" t="s">
        <v>43</v>
      </c>
      <c r="AL112" s="39">
        <f>+AL30</f>
        <v>286473</v>
      </c>
      <c r="AM112" s="39">
        <f>+AM30</f>
        <v>286473</v>
      </c>
      <c r="AN112" s="39">
        <f t="shared" ref="AN112:AW112" si="112">+AN30</f>
        <v>286473</v>
      </c>
      <c r="AO112" s="39">
        <f t="shared" si="112"/>
        <v>286473</v>
      </c>
      <c r="AP112" s="39">
        <f t="shared" si="112"/>
        <v>286473</v>
      </c>
      <c r="AQ112" s="39">
        <f t="shared" si="112"/>
        <v>286473</v>
      </c>
      <c r="AR112" s="39">
        <f t="shared" si="112"/>
        <v>286473</v>
      </c>
      <c r="AS112" s="39">
        <f t="shared" si="112"/>
        <v>286473</v>
      </c>
      <c r="AT112" s="39">
        <f t="shared" si="112"/>
        <v>286473</v>
      </c>
      <c r="AU112" s="39">
        <f t="shared" si="112"/>
        <v>286473</v>
      </c>
      <c r="AV112" s="39">
        <f t="shared" si="112"/>
        <v>286473</v>
      </c>
      <c r="AW112" s="39">
        <f t="shared" si="112"/>
        <v>286473</v>
      </c>
      <c r="AX112" s="39">
        <f t="shared" si="108"/>
        <v>3437676</v>
      </c>
      <c r="AY112" s="39">
        <f t="shared" si="109"/>
        <v>0</v>
      </c>
      <c r="AZ112" s="24"/>
      <c r="BA112" s="24"/>
      <c r="BB112" s="24"/>
    </row>
    <row r="113" spans="1:54">
      <c r="A113" s="37" t="s">
        <v>190</v>
      </c>
      <c r="B113" s="39">
        <f t="shared" ref="B113:M113" si="113">SUM(B7,B11,B55,B59,B63,B75,B79)</f>
        <v>550279.17070000002</v>
      </c>
      <c r="C113" s="39">
        <f t="shared" si="113"/>
        <v>550279.17070000002</v>
      </c>
      <c r="D113" s="39">
        <f t="shared" si="113"/>
        <v>550279.17070000002</v>
      </c>
      <c r="E113" s="39">
        <f t="shared" si="113"/>
        <v>550279.17070000002</v>
      </c>
      <c r="F113" s="39">
        <f t="shared" si="113"/>
        <v>595479.23869999999</v>
      </c>
      <c r="G113" s="39">
        <f t="shared" si="113"/>
        <v>595479.23869999999</v>
      </c>
      <c r="H113" s="39">
        <f t="shared" si="113"/>
        <v>595479.23869999999</v>
      </c>
      <c r="I113" s="39">
        <f t="shared" si="113"/>
        <v>595479.23869999999</v>
      </c>
      <c r="J113" s="39">
        <f t="shared" si="113"/>
        <v>595479.23869999999</v>
      </c>
      <c r="K113" s="39">
        <f t="shared" si="113"/>
        <v>548329.34369999997</v>
      </c>
      <c r="L113" s="39">
        <f t="shared" si="113"/>
        <v>548329.34369999997</v>
      </c>
      <c r="M113" s="39">
        <f t="shared" si="113"/>
        <v>548329.34369999997</v>
      </c>
      <c r="N113" s="39">
        <f t="shared" si="103"/>
        <v>6823500.9073999999</v>
      </c>
      <c r="O113" s="39"/>
      <c r="P113" s="39"/>
      <c r="Q113" s="24"/>
      <c r="R113" s="24"/>
      <c r="S113" s="37" t="s">
        <v>190</v>
      </c>
      <c r="T113" s="39">
        <f t="shared" ref="T113:AE113" si="114">SUM(T7,T11,T55,T59,T63,T75,T79)</f>
        <v>559474.88500000001</v>
      </c>
      <c r="U113" s="39">
        <f t="shared" si="114"/>
        <v>559474.88500000001</v>
      </c>
      <c r="V113" s="39">
        <f t="shared" si="114"/>
        <v>559474.88500000001</v>
      </c>
      <c r="W113" s="39">
        <f t="shared" si="114"/>
        <v>559474.88500000001</v>
      </c>
      <c r="X113" s="39">
        <f t="shared" si="114"/>
        <v>607637.28500000003</v>
      </c>
      <c r="Y113" s="39">
        <f t="shared" si="114"/>
        <v>607637.28500000003</v>
      </c>
      <c r="Z113" s="39">
        <f t="shared" si="114"/>
        <v>607637.28500000003</v>
      </c>
      <c r="AA113" s="39">
        <f t="shared" si="114"/>
        <v>607637.28500000003</v>
      </c>
      <c r="AB113" s="39">
        <f t="shared" si="114"/>
        <v>607637.28500000003</v>
      </c>
      <c r="AC113" s="39">
        <f t="shared" si="114"/>
        <v>559474.88500000001</v>
      </c>
      <c r="AD113" s="39">
        <f t="shared" si="114"/>
        <v>559474.88500000001</v>
      </c>
      <c r="AE113" s="39">
        <f t="shared" si="114"/>
        <v>559474.88500000001</v>
      </c>
      <c r="AF113" s="39">
        <f t="shared" si="105"/>
        <v>6954510.6200000001</v>
      </c>
      <c r="AG113" s="39">
        <f t="shared" si="106"/>
        <v>131009.7126000002</v>
      </c>
      <c r="AH113" s="39"/>
      <c r="AI113" s="24"/>
      <c r="AJ113" s="24"/>
      <c r="AK113" s="37" t="s">
        <v>190</v>
      </c>
      <c r="AL113" s="39">
        <f t="shared" ref="AL113:AW113" si="115">SUM(AL7,AL11,AL55,AL59,AL63,AL75,AL79)</f>
        <v>559474.88500000001</v>
      </c>
      <c r="AM113" s="39">
        <f t="shared" si="115"/>
        <v>559474.88500000001</v>
      </c>
      <c r="AN113" s="39">
        <f t="shared" si="115"/>
        <v>559474.88500000001</v>
      </c>
      <c r="AO113" s="39">
        <f t="shared" si="115"/>
        <v>559474.88500000001</v>
      </c>
      <c r="AP113" s="39">
        <f t="shared" si="115"/>
        <v>607637.28500000003</v>
      </c>
      <c r="AQ113" s="39">
        <f t="shared" si="115"/>
        <v>607637.28500000003</v>
      </c>
      <c r="AR113" s="39">
        <f t="shared" si="115"/>
        <v>607637.28500000003</v>
      </c>
      <c r="AS113" s="39">
        <f t="shared" si="115"/>
        <v>607637.28500000003</v>
      </c>
      <c r="AT113" s="39">
        <f t="shared" si="115"/>
        <v>607637.28500000003</v>
      </c>
      <c r="AU113" s="39">
        <f t="shared" si="115"/>
        <v>559474.88500000001</v>
      </c>
      <c r="AV113" s="39">
        <f t="shared" si="115"/>
        <v>559474.88500000001</v>
      </c>
      <c r="AW113" s="39">
        <f t="shared" si="115"/>
        <v>559474.88500000001</v>
      </c>
      <c r="AX113" s="39">
        <f t="shared" si="108"/>
        <v>6954510.6200000001</v>
      </c>
      <c r="AY113" s="39">
        <f t="shared" si="109"/>
        <v>0</v>
      </c>
      <c r="AZ113" s="39"/>
      <c r="BA113" s="24"/>
      <c r="BB113" s="24"/>
    </row>
    <row r="114" spans="1:54">
      <c r="A114" s="37" t="s">
        <v>44</v>
      </c>
      <c r="B114" s="39">
        <f t="shared" ref="B114:M114" si="116">SUM(B17,B40)</f>
        <v>124492.90277999999</v>
      </c>
      <c r="C114" s="39">
        <f t="shared" si="116"/>
        <v>124492.90277999999</v>
      </c>
      <c r="D114" s="39">
        <f t="shared" si="116"/>
        <v>120477.00139999999</v>
      </c>
      <c r="E114" s="39">
        <f t="shared" si="116"/>
        <v>124492.78277999999</v>
      </c>
      <c r="F114" s="39">
        <f t="shared" si="116"/>
        <v>120477.00140000001</v>
      </c>
      <c r="G114" s="39">
        <f t="shared" si="116"/>
        <v>124492.89278000002</v>
      </c>
      <c r="H114" s="39">
        <f t="shared" si="116"/>
        <v>124492.89278000002</v>
      </c>
      <c r="I114" s="39">
        <f t="shared" si="116"/>
        <v>112445.23864</v>
      </c>
      <c r="J114" s="39">
        <f t="shared" si="116"/>
        <v>124492.90278</v>
      </c>
      <c r="K114" s="39">
        <f t="shared" si="116"/>
        <v>121331.996</v>
      </c>
      <c r="L114" s="39">
        <f t="shared" si="116"/>
        <v>125377.02225000001</v>
      </c>
      <c r="M114" s="39">
        <f t="shared" si="116"/>
        <v>121332.5925</v>
      </c>
      <c r="N114" s="39">
        <f t="shared" si="103"/>
        <v>1468398.1288699999</v>
      </c>
      <c r="O114" s="39"/>
      <c r="P114" s="24"/>
      <c r="Q114" s="24"/>
      <c r="R114" s="24"/>
      <c r="S114" s="37" t="s">
        <v>44</v>
      </c>
      <c r="T114" s="39">
        <f t="shared" ref="T114:AE114" si="117">SUM(T17,T40)</f>
        <v>144764.53</v>
      </c>
      <c r="U114" s="39">
        <f t="shared" si="117"/>
        <v>144764.53</v>
      </c>
      <c r="V114" s="39">
        <f t="shared" si="117"/>
        <v>144764.53</v>
      </c>
      <c r="W114" s="39">
        <f t="shared" si="117"/>
        <v>144764.53</v>
      </c>
      <c r="X114" s="39">
        <f t="shared" si="117"/>
        <v>144764.53</v>
      </c>
      <c r="Y114" s="39">
        <f t="shared" si="117"/>
        <v>144764.53</v>
      </c>
      <c r="Z114" s="39">
        <f t="shared" si="117"/>
        <v>144764.53</v>
      </c>
      <c r="AA114" s="39">
        <f t="shared" si="117"/>
        <v>144764.53</v>
      </c>
      <c r="AB114" s="39">
        <f t="shared" si="117"/>
        <v>144764.53</v>
      </c>
      <c r="AC114" s="39">
        <f t="shared" si="117"/>
        <v>144764.53</v>
      </c>
      <c r="AD114" s="39">
        <f t="shared" si="117"/>
        <v>144764.53</v>
      </c>
      <c r="AE114" s="39">
        <f t="shared" si="117"/>
        <v>144764.53</v>
      </c>
      <c r="AF114" s="39">
        <f t="shared" si="105"/>
        <v>1737174.36</v>
      </c>
      <c r="AG114" s="39">
        <f t="shared" si="106"/>
        <v>268776.2311300002</v>
      </c>
      <c r="AH114" s="24"/>
      <c r="AI114" s="24"/>
      <c r="AJ114" s="24"/>
      <c r="AK114" s="37" t="s">
        <v>44</v>
      </c>
      <c r="AL114" s="39">
        <f t="shared" ref="AL114:AW114" si="118">SUM(AL17,AL40)</f>
        <v>144764.53</v>
      </c>
      <c r="AM114" s="39">
        <f t="shared" si="118"/>
        <v>144764.53</v>
      </c>
      <c r="AN114" s="39">
        <f t="shared" si="118"/>
        <v>144764.53</v>
      </c>
      <c r="AO114" s="39">
        <f t="shared" si="118"/>
        <v>144764.53</v>
      </c>
      <c r="AP114" s="39">
        <f t="shared" si="118"/>
        <v>144764.53</v>
      </c>
      <c r="AQ114" s="39">
        <f t="shared" si="118"/>
        <v>144764.53</v>
      </c>
      <c r="AR114" s="39">
        <f t="shared" si="118"/>
        <v>144764.53</v>
      </c>
      <c r="AS114" s="39">
        <f t="shared" si="118"/>
        <v>144764.53</v>
      </c>
      <c r="AT114" s="39">
        <f t="shared" si="118"/>
        <v>144764.53</v>
      </c>
      <c r="AU114" s="39">
        <f t="shared" si="118"/>
        <v>144764.53</v>
      </c>
      <c r="AV114" s="39">
        <f t="shared" si="118"/>
        <v>144764.53</v>
      </c>
      <c r="AW114" s="39">
        <f t="shared" si="118"/>
        <v>144764.53</v>
      </c>
      <c r="AX114" s="39">
        <f t="shared" si="108"/>
        <v>1737174.36</v>
      </c>
      <c r="AY114" s="39">
        <f t="shared" si="109"/>
        <v>0</v>
      </c>
      <c r="AZ114" s="24"/>
      <c r="BA114" s="24"/>
      <c r="BB114" s="24"/>
    </row>
    <row r="115" spans="1:54">
      <c r="A115" s="37" t="s">
        <v>45</v>
      </c>
      <c r="B115" s="39">
        <f>+B24</f>
        <v>73578.508149000001</v>
      </c>
      <c r="C115" s="39">
        <f>+C24</f>
        <v>66225.529160000006</v>
      </c>
      <c r="D115" s="39">
        <f t="shared" ref="D115:M115" si="119">+D24</f>
        <v>62691.828282999995</v>
      </c>
      <c r="E115" s="39">
        <f t="shared" si="119"/>
        <v>121007.641756</v>
      </c>
      <c r="F115" s="39">
        <f t="shared" si="119"/>
        <v>72271.654347000003</v>
      </c>
      <c r="G115" s="39">
        <f t="shared" si="119"/>
        <v>63239.278158000001</v>
      </c>
      <c r="H115" s="39">
        <f t="shared" si="119"/>
        <v>72692.684642000007</v>
      </c>
      <c r="I115" s="39">
        <f t="shared" si="119"/>
        <v>61079.699695000003</v>
      </c>
      <c r="J115" s="39">
        <f t="shared" si="119"/>
        <v>64021.257140000002</v>
      </c>
      <c r="K115" s="39">
        <f t="shared" si="119"/>
        <v>64106.972569999998</v>
      </c>
      <c r="L115" s="39">
        <f t="shared" si="119"/>
        <v>71878.525561999995</v>
      </c>
      <c r="M115" s="39">
        <f t="shared" si="119"/>
        <v>69972.864227999991</v>
      </c>
      <c r="N115" s="39">
        <f t="shared" si="103"/>
        <v>862766.44368999987</v>
      </c>
      <c r="O115" s="39"/>
      <c r="P115" s="39"/>
      <c r="Q115" s="24"/>
      <c r="R115" s="24"/>
      <c r="S115" s="37" t="s">
        <v>45</v>
      </c>
      <c r="T115" s="39">
        <f>+T24</f>
        <v>82480</v>
      </c>
      <c r="U115" s="39">
        <f>+U24</f>
        <v>82480</v>
      </c>
      <c r="V115" s="39">
        <f t="shared" ref="V115:AE115" si="120">+V24</f>
        <v>82480</v>
      </c>
      <c r="W115" s="39">
        <f t="shared" si="120"/>
        <v>82480</v>
      </c>
      <c r="X115" s="39">
        <f t="shared" si="120"/>
        <v>82480</v>
      </c>
      <c r="Y115" s="39">
        <f t="shared" si="120"/>
        <v>82480</v>
      </c>
      <c r="Z115" s="39">
        <f t="shared" si="120"/>
        <v>82480</v>
      </c>
      <c r="AA115" s="39">
        <f t="shared" si="120"/>
        <v>82480</v>
      </c>
      <c r="AB115" s="39">
        <f t="shared" si="120"/>
        <v>82480</v>
      </c>
      <c r="AC115" s="39">
        <f t="shared" si="120"/>
        <v>82480</v>
      </c>
      <c r="AD115" s="39">
        <f t="shared" si="120"/>
        <v>82480</v>
      </c>
      <c r="AE115" s="39">
        <f t="shared" si="120"/>
        <v>82480</v>
      </c>
      <c r="AF115" s="39">
        <f t="shared" si="105"/>
        <v>989760</v>
      </c>
      <c r="AG115" s="39">
        <f t="shared" si="106"/>
        <v>126993.55631000013</v>
      </c>
      <c r="AH115" s="39"/>
      <c r="AI115" s="24"/>
      <c r="AJ115" s="24"/>
      <c r="AK115" s="37" t="s">
        <v>45</v>
      </c>
      <c r="AL115" s="39">
        <f>+AL24</f>
        <v>82480</v>
      </c>
      <c r="AM115" s="39">
        <f>+AM24</f>
        <v>82480</v>
      </c>
      <c r="AN115" s="39">
        <f t="shared" ref="AN115:AW115" si="121">+AN24</f>
        <v>82480</v>
      </c>
      <c r="AO115" s="39">
        <f t="shared" si="121"/>
        <v>82480</v>
      </c>
      <c r="AP115" s="39">
        <f t="shared" si="121"/>
        <v>82480</v>
      </c>
      <c r="AQ115" s="39">
        <f t="shared" si="121"/>
        <v>82480</v>
      </c>
      <c r="AR115" s="39">
        <f t="shared" si="121"/>
        <v>82480</v>
      </c>
      <c r="AS115" s="39">
        <f t="shared" si="121"/>
        <v>82480</v>
      </c>
      <c r="AT115" s="39">
        <f t="shared" si="121"/>
        <v>82480</v>
      </c>
      <c r="AU115" s="39">
        <f t="shared" si="121"/>
        <v>82480</v>
      </c>
      <c r="AV115" s="39">
        <f t="shared" si="121"/>
        <v>82480</v>
      </c>
      <c r="AW115" s="39">
        <f t="shared" si="121"/>
        <v>82480</v>
      </c>
      <c r="AX115" s="39">
        <f t="shared" si="108"/>
        <v>989760</v>
      </c>
      <c r="AY115" s="39">
        <f t="shared" si="109"/>
        <v>0</v>
      </c>
      <c r="AZ115" s="39"/>
      <c r="BA115" s="24"/>
      <c r="BB115" s="24"/>
    </row>
    <row r="116" spans="1:54">
      <c r="A116" s="350" t="s">
        <v>0</v>
      </c>
      <c r="B116" s="39">
        <f t="shared" ref="B116:M116" si="122">SUM(B111:B115)</f>
        <v>1595046.474529</v>
      </c>
      <c r="C116" s="39">
        <f t="shared" si="122"/>
        <v>1587693.4955399998</v>
      </c>
      <c r="D116" s="39">
        <f t="shared" si="122"/>
        <v>1580143.893283</v>
      </c>
      <c r="E116" s="39">
        <f t="shared" si="122"/>
        <v>1780986.1206359998</v>
      </c>
      <c r="F116" s="39">
        <f t="shared" si="122"/>
        <v>1773434.4198469997</v>
      </c>
      <c r="G116" s="39">
        <f t="shared" si="122"/>
        <v>1768417.9350379999</v>
      </c>
      <c r="H116" s="39">
        <f t="shared" si="122"/>
        <v>1777871.3415219998</v>
      </c>
      <c r="I116" s="39">
        <f t="shared" si="122"/>
        <v>1753576.4374349997</v>
      </c>
      <c r="J116" s="39">
        <f t="shared" si="122"/>
        <v>1768565.6590199997</v>
      </c>
      <c r="K116" s="39">
        <f t="shared" si="122"/>
        <v>1584535.25067</v>
      </c>
      <c r="L116" s="39">
        <f t="shared" si="122"/>
        <v>1718592.4633119998</v>
      </c>
      <c r="M116" s="39">
        <f t="shared" si="122"/>
        <v>1712642.3722279998</v>
      </c>
      <c r="N116" s="39">
        <f t="shared" si="103"/>
        <v>20401505.863059998</v>
      </c>
      <c r="O116" s="39"/>
      <c r="P116" s="24"/>
      <c r="Q116" s="24"/>
      <c r="R116" s="24"/>
      <c r="S116" s="37" t="s">
        <v>46</v>
      </c>
      <c r="T116" s="39">
        <f t="shared" ref="T116:AE116" si="123">SUM(T111:T115)</f>
        <v>1741742.645</v>
      </c>
      <c r="U116" s="39">
        <f t="shared" si="123"/>
        <v>1741742.645</v>
      </c>
      <c r="V116" s="39">
        <f t="shared" si="123"/>
        <v>1741742.645</v>
      </c>
      <c r="W116" s="39">
        <f t="shared" si="123"/>
        <v>1877790.345</v>
      </c>
      <c r="X116" s="39">
        <f t="shared" si="123"/>
        <v>1925952.7449999999</v>
      </c>
      <c r="Y116" s="39">
        <f t="shared" si="123"/>
        <v>1925952.7449999999</v>
      </c>
      <c r="Z116" s="39">
        <f t="shared" si="123"/>
        <v>1925952.7449999999</v>
      </c>
      <c r="AA116" s="39">
        <f t="shared" si="123"/>
        <v>1925952.7449999999</v>
      </c>
      <c r="AB116" s="39">
        <f t="shared" si="123"/>
        <v>1925952.7449999999</v>
      </c>
      <c r="AC116" s="39">
        <f t="shared" si="123"/>
        <v>1741742.645</v>
      </c>
      <c r="AD116" s="39">
        <f t="shared" si="123"/>
        <v>1741742.645</v>
      </c>
      <c r="AE116" s="39">
        <f t="shared" si="123"/>
        <v>1741742.645</v>
      </c>
      <c r="AF116" s="39">
        <f t="shared" si="105"/>
        <v>21958009.939999998</v>
      </c>
      <c r="AG116" s="39">
        <f t="shared" si="106"/>
        <v>1556504.0769400001</v>
      </c>
      <c r="AH116" s="24"/>
      <c r="AI116" s="24"/>
      <c r="AJ116" s="24"/>
      <c r="AK116" s="37" t="s">
        <v>46</v>
      </c>
      <c r="AL116" s="39">
        <f t="shared" ref="AL116:AW116" si="124">SUM(AL111:AL115)</f>
        <v>1741742.645</v>
      </c>
      <c r="AM116" s="39">
        <f t="shared" si="124"/>
        <v>1741742.645</v>
      </c>
      <c r="AN116" s="39">
        <f t="shared" si="124"/>
        <v>1741742.645</v>
      </c>
      <c r="AO116" s="39">
        <f t="shared" si="124"/>
        <v>1877790.345</v>
      </c>
      <c r="AP116" s="39">
        <f t="shared" si="124"/>
        <v>1925952.7449999999</v>
      </c>
      <c r="AQ116" s="39">
        <f t="shared" si="124"/>
        <v>1925952.7449999999</v>
      </c>
      <c r="AR116" s="39">
        <f t="shared" si="124"/>
        <v>1925952.7449999999</v>
      </c>
      <c r="AS116" s="39">
        <f t="shared" si="124"/>
        <v>1925952.7449999999</v>
      </c>
      <c r="AT116" s="39">
        <f t="shared" si="124"/>
        <v>1925952.7449999999</v>
      </c>
      <c r="AU116" s="39">
        <f t="shared" si="124"/>
        <v>1741742.645</v>
      </c>
      <c r="AV116" s="39">
        <f t="shared" si="124"/>
        <v>1741742.645</v>
      </c>
      <c r="AW116" s="39">
        <f t="shared" si="124"/>
        <v>1741742.645</v>
      </c>
      <c r="AX116" s="39">
        <f t="shared" si="108"/>
        <v>21958009.939999998</v>
      </c>
      <c r="AY116" s="39">
        <f t="shared" si="109"/>
        <v>0</v>
      </c>
      <c r="AZ116" s="24"/>
      <c r="BA116" s="24"/>
      <c r="BB116" s="24"/>
    </row>
    <row r="117" spans="1:54">
      <c r="A117" s="350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199"/>
      <c r="O117" s="39"/>
      <c r="P117" s="24"/>
      <c r="Q117" s="24"/>
      <c r="R117" s="24"/>
      <c r="S117" s="350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199"/>
      <c r="AG117" s="39"/>
      <c r="AH117" s="24"/>
      <c r="AI117" s="24"/>
      <c r="AJ117" s="24"/>
      <c r="AK117" s="350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199"/>
      <c r="AY117" s="39"/>
      <c r="AZ117" s="24"/>
      <c r="BA117" s="24"/>
      <c r="BB117" s="24"/>
    </row>
    <row r="118" spans="1:54">
      <c r="A118" s="350" t="s">
        <v>352</v>
      </c>
      <c r="B118" s="199">
        <f>SUM(B111:B112,B114)</f>
        <v>971188.79567999998</v>
      </c>
      <c r="C118" s="199">
        <f t="shared" ref="C118:M118" si="125">SUM(C111:C112,C114)</f>
        <v>971188.79567999998</v>
      </c>
      <c r="D118" s="199">
        <f t="shared" si="125"/>
        <v>967172.89429999993</v>
      </c>
      <c r="E118" s="199">
        <f t="shared" si="125"/>
        <v>1109699.3081799999</v>
      </c>
      <c r="F118" s="199">
        <f t="shared" si="125"/>
        <v>1105683.5267999999</v>
      </c>
      <c r="G118" s="199">
        <f t="shared" si="125"/>
        <v>1109699.41818</v>
      </c>
      <c r="H118" s="199">
        <f t="shared" si="125"/>
        <v>1109699.41818</v>
      </c>
      <c r="I118" s="199">
        <f t="shared" si="125"/>
        <v>1097017.4990399999</v>
      </c>
      <c r="J118" s="199">
        <f t="shared" si="125"/>
        <v>1109065.1631799999</v>
      </c>
      <c r="K118" s="199">
        <f t="shared" si="125"/>
        <v>972098.93439999991</v>
      </c>
      <c r="L118" s="199">
        <f t="shared" si="125"/>
        <v>1098384.59405</v>
      </c>
      <c r="M118" s="199">
        <f t="shared" si="125"/>
        <v>1094340.1642999998</v>
      </c>
      <c r="N118" s="199">
        <f>SUM(N111:N112,N114)</f>
        <v>12715238.511969998</v>
      </c>
      <c r="O118" s="128"/>
      <c r="P118" s="24"/>
      <c r="Q118" s="24"/>
      <c r="R118" s="24"/>
      <c r="S118" s="350" t="s">
        <v>352</v>
      </c>
      <c r="T118" s="199">
        <f t="shared" ref="T118:AE118" si="126">SUM(T111:T112,T114)</f>
        <v>1099787.76</v>
      </c>
      <c r="U118" s="199">
        <f t="shared" si="126"/>
        <v>1099787.76</v>
      </c>
      <c r="V118" s="199">
        <f t="shared" si="126"/>
        <v>1099787.76</v>
      </c>
      <c r="W118" s="199">
        <f t="shared" si="126"/>
        <v>1235835.46</v>
      </c>
      <c r="X118" s="199">
        <f t="shared" si="126"/>
        <v>1235835.46</v>
      </c>
      <c r="Y118" s="199">
        <f t="shared" si="126"/>
        <v>1235835.46</v>
      </c>
      <c r="Z118" s="199">
        <f t="shared" si="126"/>
        <v>1235835.46</v>
      </c>
      <c r="AA118" s="199">
        <f t="shared" si="126"/>
        <v>1235835.46</v>
      </c>
      <c r="AB118" s="199">
        <f t="shared" si="126"/>
        <v>1235835.46</v>
      </c>
      <c r="AC118" s="199">
        <f t="shared" si="126"/>
        <v>1099787.76</v>
      </c>
      <c r="AD118" s="199">
        <f t="shared" si="126"/>
        <v>1099787.76</v>
      </c>
      <c r="AE118" s="199">
        <f t="shared" si="126"/>
        <v>1099787.76</v>
      </c>
      <c r="AF118" s="199">
        <f>SUM(AF111:AF112,AF114)</f>
        <v>14013739.319999998</v>
      </c>
      <c r="AG118" s="128"/>
      <c r="AH118" s="24"/>
      <c r="AI118" s="24"/>
      <c r="AJ118" s="24"/>
      <c r="AK118" s="350" t="s">
        <v>352</v>
      </c>
      <c r="AL118" s="199">
        <f t="shared" ref="AL118:AW118" si="127">SUM(AL111:AL112,AL114)</f>
        <v>1099787.76</v>
      </c>
      <c r="AM118" s="199">
        <f t="shared" si="127"/>
        <v>1099787.76</v>
      </c>
      <c r="AN118" s="199">
        <f t="shared" si="127"/>
        <v>1099787.76</v>
      </c>
      <c r="AO118" s="199">
        <f t="shared" si="127"/>
        <v>1235835.46</v>
      </c>
      <c r="AP118" s="199">
        <f t="shared" si="127"/>
        <v>1235835.46</v>
      </c>
      <c r="AQ118" s="199">
        <f t="shared" si="127"/>
        <v>1235835.46</v>
      </c>
      <c r="AR118" s="199">
        <f t="shared" si="127"/>
        <v>1235835.46</v>
      </c>
      <c r="AS118" s="199">
        <f t="shared" si="127"/>
        <v>1235835.46</v>
      </c>
      <c r="AT118" s="199">
        <f t="shared" si="127"/>
        <v>1235835.46</v>
      </c>
      <c r="AU118" s="199">
        <f t="shared" si="127"/>
        <v>1099787.76</v>
      </c>
      <c r="AV118" s="199">
        <f t="shared" si="127"/>
        <v>1099787.76</v>
      </c>
      <c r="AW118" s="199">
        <f t="shared" si="127"/>
        <v>1099787.76</v>
      </c>
      <c r="AX118" s="199">
        <f>SUM(AX111:AX112,AX114)</f>
        <v>14013739.319999998</v>
      </c>
      <c r="AY118" s="39"/>
      <c r="AZ118" s="24"/>
      <c r="BA118" s="24"/>
      <c r="BB118" s="24"/>
    </row>
    <row r="119" spans="1:54">
      <c r="A119" s="350" t="s">
        <v>876</v>
      </c>
      <c r="B119" s="199">
        <f t="shared" ref="B119:N119" si="128">SUM(B113,B115:B115)</f>
        <v>623857.67884900002</v>
      </c>
      <c r="C119" s="199">
        <f t="shared" si="128"/>
        <v>616504.69986000005</v>
      </c>
      <c r="D119" s="199">
        <f t="shared" si="128"/>
        <v>612970.99898300006</v>
      </c>
      <c r="E119" s="199">
        <f t="shared" si="128"/>
        <v>671286.81245600001</v>
      </c>
      <c r="F119" s="199">
        <f t="shared" si="128"/>
        <v>667750.89304700005</v>
      </c>
      <c r="G119" s="199">
        <f t="shared" si="128"/>
        <v>658718.51685799996</v>
      </c>
      <c r="H119" s="199">
        <f t="shared" si="128"/>
        <v>668171.92334199999</v>
      </c>
      <c r="I119" s="199">
        <f t="shared" si="128"/>
        <v>656558.93839499995</v>
      </c>
      <c r="J119" s="199">
        <f t="shared" si="128"/>
        <v>659500.49583999999</v>
      </c>
      <c r="K119" s="199">
        <f t="shared" si="128"/>
        <v>612436.31626999995</v>
      </c>
      <c r="L119" s="199">
        <f t="shared" si="128"/>
        <v>620207.86926199996</v>
      </c>
      <c r="M119" s="199">
        <f t="shared" si="128"/>
        <v>618302.20792800002</v>
      </c>
      <c r="N119" s="199">
        <f t="shared" si="128"/>
        <v>7686267.35109</v>
      </c>
      <c r="O119" s="128"/>
      <c r="P119" s="24"/>
      <c r="Q119" s="24"/>
      <c r="R119" s="24"/>
      <c r="S119" s="350" t="s">
        <v>351</v>
      </c>
      <c r="T119" s="199">
        <f t="shared" ref="T119:AF119" si="129">SUM(T113,T115:T115)</f>
        <v>641954.88500000001</v>
      </c>
      <c r="U119" s="199">
        <f t="shared" si="129"/>
        <v>641954.88500000001</v>
      </c>
      <c r="V119" s="199">
        <f t="shared" si="129"/>
        <v>641954.88500000001</v>
      </c>
      <c r="W119" s="199">
        <f t="shared" si="129"/>
        <v>641954.88500000001</v>
      </c>
      <c r="X119" s="199">
        <f t="shared" si="129"/>
        <v>690117.28500000003</v>
      </c>
      <c r="Y119" s="199">
        <f t="shared" si="129"/>
        <v>690117.28500000003</v>
      </c>
      <c r="Z119" s="199">
        <f t="shared" si="129"/>
        <v>690117.28500000003</v>
      </c>
      <c r="AA119" s="199">
        <f t="shared" si="129"/>
        <v>690117.28500000003</v>
      </c>
      <c r="AB119" s="199">
        <f t="shared" si="129"/>
        <v>690117.28500000003</v>
      </c>
      <c r="AC119" s="199">
        <f t="shared" si="129"/>
        <v>641954.88500000001</v>
      </c>
      <c r="AD119" s="199">
        <f t="shared" si="129"/>
        <v>641954.88500000001</v>
      </c>
      <c r="AE119" s="199">
        <f t="shared" si="129"/>
        <v>641954.88500000001</v>
      </c>
      <c r="AF119" s="199">
        <f t="shared" si="129"/>
        <v>7944270.6200000001</v>
      </c>
      <c r="AG119" s="128"/>
      <c r="AH119" s="24"/>
      <c r="AI119" s="24"/>
      <c r="AJ119" s="24"/>
      <c r="AK119" s="350" t="s">
        <v>351</v>
      </c>
      <c r="AL119" s="199">
        <f t="shared" ref="AL119:AX119" si="130">SUM(AL113,AL115:AL115)</f>
        <v>641954.88500000001</v>
      </c>
      <c r="AM119" s="199">
        <f t="shared" si="130"/>
        <v>641954.88500000001</v>
      </c>
      <c r="AN119" s="199">
        <f t="shared" si="130"/>
        <v>641954.88500000001</v>
      </c>
      <c r="AO119" s="199">
        <f t="shared" si="130"/>
        <v>641954.88500000001</v>
      </c>
      <c r="AP119" s="199">
        <f t="shared" si="130"/>
        <v>690117.28500000003</v>
      </c>
      <c r="AQ119" s="199">
        <f t="shared" si="130"/>
        <v>690117.28500000003</v>
      </c>
      <c r="AR119" s="199">
        <f t="shared" si="130"/>
        <v>690117.28500000003</v>
      </c>
      <c r="AS119" s="199">
        <f t="shared" si="130"/>
        <v>690117.28500000003</v>
      </c>
      <c r="AT119" s="199">
        <f t="shared" si="130"/>
        <v>690117.28500000003</v>
      </c>
      <c r="AU119" s="199">
        <f t="shared" si="130"/>
        <v>641954.88500000001</v>
      </c>
      <c r="AV119" s="199">
        <f t="shared" si="130"/>
        <v>641954.88500000001</v>
      </c>
      <c r="AW119" s="199">
        <f t="shared" si="130"/>
        <v>641954.88500000001</v>
      </c>
      <c r="AX119" s="199">
        <f t="shared" si="130"/>
        <v>7944270.6200000001</v>
      </c>
      <c r="AY119" s="39"/>
      <c r="AZ119" s="24"/>
      <c r="BA119" s="24"/>
      <c r="BB119" s="24"/>
    </row>
    <row r="120" spans="1:54"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</row>
    <row r="121" spans="1:54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24"/>
      <c r="P121" s="24"/>
      <c r="Q121" s="24"/>
      <c r="R121" s="24"/>
      <c r="T121" s="24"/>
      <c r="U121" s="24"/>
      <c r="V121" s="24"/>
      <c r="W121" s="24"/>
      <c r="X121" s="39"/>
      <c r="Y121" s="39"/>
      <c r="Z121" s="39"/>
      <c r="AA121" s="39"/>
      <c r="AB121" s="39"/>
      <c r="AC121" s="39"/>
      <c r="AD121" s="39"/>
      <c r="AE121" s="39"/>
      <c r="AF121" s="39"/>
      <c r="AG121" s="24"/>
      <c r="AH121" s="24"/>
      <c r="AI121" s="24"/>
      <c r="AJ121" s="24"/>
      <c r="AL121" s="24"/>
      <c r="AM121" s="24"/>
      <c r="AN121" s="24"/>
      <c r="AO121" s="24"/>
      <c r="AP121" s="39"/>
      <c r="AQ121" s="39"/>
      <c r="AR121" s="39"/>
      <c r="AS121" s="39"/>
      <c r="AT121" s="39"/>
      <c r="AU121" s="39"/>
      <c r="AV121" s="39"/>
      <c r="AW121" s="39"/>
      <c r="AX121" s="39"/>
      <c r="AY121" s="24"/>
      <c r="AZ121" s="24"/>
      <c r="BA121" s="24"/>
      <c r="BB121" s="24"/>
    </row>
    <row r="122" spans="1:54">
      <c r="B122" s="66"/>
      <c r="C122" s="66"/>
      <c r="D122" s="66"/>
      <c r="E122" s="66"/>
      <c r="F122" s="66"/>
      <c r="G122" s="66"/>
      <c r="H122" s="66"/>
      <c r="I122" s="66"/>
      <c r="J122" s="66"/>
      <c r="K122" s="66"/>
    </row>
    <row r="124" spans="1:54">
      <c r="N124" s="39"/>
      <c r="O124" s="355"/>
    </row>
    <row r="125" spans="1:54">
      <c r="I125" s="356"/>
      <c r="O125" s="355"/>
    </row>
    <row r="126" spans="1:54">
      <c r="I126" s="356"/>
    </row>
    <row r="127" spans="1:54">
      <c r="I127" s="356"/>
    </row>
    <row r="128" spans="1:54">
      <c r="I128" s="356"/>
    </row>
    <row r="129" spans="9:12">
      <c r="I129" s="356"/>
    </row>
    <row r="140" spans="9:12">
      <c r="L140" s="356"/>
    </row>
  </sheetData>
  <phoneticPr fontId="0" type="noConversion"/>
  <printOptions gridLinesSet="0"/>
  <pageMargins left="0.25" right="0.25" top="0.25" bottom="0.25" header="0.5" footer="0.5"/>
  <pageSetup scale="36" orientation="portrait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9</vt:i4>
      </vt:variant>
    </vt:vector>
  </HeadingPairs>
  <TitlesOfParts>
    <vt:vector size="30" baseType="lpstr">
      <vt:lpstr>WORKBOOK NOTES</vt:lpstr>
      <vt:lpstr>HEDGE REPORT</vt:lpstr>
      <vt:lpstr>YR SUMMARIES</vt:lpstr>
      <vt:lpstr>YR REPORTS</vt:lpstr>
      <vt:lpstr>FIN OPS REV VOL VS YR REPORTS</vt:lpstr>
      <vt:lpstr>PGC GRAPHS</vt:lpstr>
      <vt:lpstr>NONPGC GRAPHS</vt:lpstr>
      <vt:lpstr>TOTAL GRAPHS</vt:lpstr>
      <vt:lpstr>NON-PGC HEDGE </vt:lpstr>
      <vt:lpstr>MCFS</vt:lpstr>
      <vt:lpstr>MCFS GRAPHS</vt:lpstr>
      <vt:lpstr>FT GAS</vt:lpstr>
      <vt:lpstr>FSS</vt:lpstr>
      <vt:lpstr>GSS-09</vt:lpstr>
      <vt:lpstr>GSS-97</vt:lpstr>
      <vt:lpstr>GSS-62</vt:lpstr>
      <vt:lpstr>GSS-TOT</vt:lpstr>
      <vt:lpstr>STORAGE TOT</vt:lpstr>
      <vt:lpstr>GAS </vt:lpstr>
      <vt:lpstr>TRANSPORT</vt:lpstr>
      <vt:lpstr>DEMAND</vt:lpstr>
      <vt:lpstr>DEMAND!Print_Area</vt:lpstr>
      <vt:lpstr>'GAS '!Print_Area</vt:lpstr>
      <vt:lpstr>'HEDGE REPORT'!Print_Area</vt:lpstr>
      <vt:lpstr>MCFS!Print_Area</vt:lpstr>
      <vt:lpstr>'MCFS GRAPHS'!Print_Area</vt:lpstr>
      <vt:lpstr>'NON-PGC HEDGE '!Print_Area</vt:lpstr>
      <vt:lpstr>'YR REPORTS'!Print_Area</vt:lpstr>
      <vt:lpstr>'YR SUMMARIES'!Print_Area</vt:lpstr>
      <vt:lpstr>Yr_Summaries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Department of Public Utilities</dc:creator>
  <cp:lastModifiedBy>daughtryd</cp:lastModifiedBy>
  <cp:lastPrinted>2011-08-11T20:19:53Z</cp:lastPrinted>
  <dcterms:created xsi:type="dcterms:W3CDTF">1998-07-10T17:58:25Z</dcterms:created>
  <dcterms:modified xsi:type="dcterms:W3CDTF">2012-05-30T20:22:35Z</dcterms:modified>
</cp:coreProperties>
</file>